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O:\17_GSch Landwirtschaft\8_Vollzug\2_Lagerkapazität\Formular Berechnung Lagerkapazität\"/>
    </mc:Choice>
  </mc:AlternateContent>
  <xr:revisionPtr revIDLastSave="0" documentId="13_ncr:1_{1B6AC95C-2B18-49F6-9210-E3203A2B9C78}" xr6:coauthVersionLast="36" xr6:coauthVersionMax="36" xr10:uidLastSave="{00000000-0000-0000-0000-000000000000}"/>
  <bookViews>
    <workbookView xWindow="0" yWindow="0" windowWidth="21570" windowHeight="8030" tabRatio="812" xr2:uid="{00000000-000D-0000-FFFF-FFFF00000000}"/>
  </bookViews>
  <sheets>
    <sheet name="Adresse + Ergebnis " sheetId="1" r:id="rId1"/>
    <sheet name="Rindvieh, Schweine, Geflügel" sheetId="2" r:id="rId2"/>
    <sheet name="Diverse Tiere" sheetId="4" r:id="rId3"/>
    <sheet name="Abwasser, Hofdüngerlager" sheetId="5" r:id="rId4"/>
    <sheet name="Abwasser landwirt. Nebenerwerb" sheetId="21" r:id="rId5"/>
    <sheet name="Grundlagen GRUD" sheetId="19" r:id="rId6"/>
  </sheets>
  <definedNames>
    <definedName name="_xlnm.Print_Area" localSheetId="4">'Abwasser landwirt. Nebenerwerb'!$A$1:$O$37</definedName>
    <definedName name="_xlnm.Print_Area" localSheetId="3">'Abwasser, Hofdüngerlager'!$A$1:$O$55</definedName>
    <definedName name="_xlnm.Print_Area" localSheetId="0">'Adresse + Ergebnis '!$A$1:$O$44</definedName>
    <definedName name="_xlnm.Print_Area" localSheetId="2">'Diverse Tiere'!$A$1:$S$42</definedName>
    <definedName name="_xlnm.Print_Area" localSheetId="1">'Rindvieh, Schweine, Geflügel'!$A$1:$S$46</definedName>
    <definedName name="Print_Area" localSheetId="3">'Abwasser, Hofdüngerlager'!$A$1:$O$55</definedName>
    <definedName name="Print_Area" localSheetId="0">'Adresse + Ergebnis '!$A$1:$O$44</definedName>
    <definedName name="Print_Area" localSheetId="2">'Diverse Tiere'!$A$1:$S$44</definedName>
    <definedName name="Print_Area" localSheetId="5">'Grundlagen GRUD'!$A$7:$M$123</definedName>
    <definedName name="Print_Area" localSheetId="1">'Rindvieh, Schweine, Geflügel'!$A$1:$S$46</definedName>
  </definedNames>
  <calcPr calcId="191029"/>
</workbook>
</file>

<file path=xl/calcChain.xml><?xml version="1.0" encoding="utf-8"?>
<calcChain xmlns="http://schemas.openxmlformats.org/spreadsheetml/2006/main">
  <c r="H3" i="5" l="1"/>
  <c r="I3" i="2"/>
  <c r="W13" i="4" l="1"/>
  <c r="W35" i="4"/>
  <c r="W36" i="4"/>
  <c r="W37" i="4"/>
  <c r="W38" i="4"/>
  <c r="W39" i="4"/>
  <c r="W40" i="4"/>
  <c r="W41" i="4"/>
  <c r="W34" i="4"/>
  <c r="W30" i="4"/>
  <c r="W29" i="4"/>
  <c r="W19" i="4"/>
  <c r="W10" i="4"/>
  <c r="W11" i="4"/>
  <c r="W12" i="4"/>
  <c r="AH44" i="2"/>
  <c r="AH45" i="2"/>
  <c r="AH42" i="2"/>
  <c r="AH34" i="2"/>
  <c r="AH35" i="2"/>
  <c r="AH36" i="2"/>
  <c r="AH37" i="2"/>
  <c r="AH32" i="2"/>
  <c r="AH17" i="2"/>
  <c r="AH18" i="2"/>
  <c r="AH19" i="2"/>
  <c r="AH20" i="2"/>
  <c r="AH21" i="2"/>
  <c r="AH22" i="2"/>
  <c r="AH23" i="2"/>
  <c r="AH24" i="2"/>
  <c r="AH25" i="2"/>
  <c r="AH26" i="2"/>
  <c r="AH27" i="2"/>
  <c r="G28" i="4" l="1"/>
  <c r="P41" i="4" l="1"/>
  <c r="P40" i="4"/>
  <c r="P39" i="4"/>
  <c r="P38" i="4"/>
  <c r="P37" i="4"/>
  <c r="P36" i="4"/>
  <c r="P35" i="4"/>
  <c r="P34" i="4"/>
  <c r="P30" i="4"/>
  <c r="P31" i="4" s="1"/>
  <c r="P29" i="4"/>
  <c r="P25" i="4"/>
  <c r="P24" i="4"/>
  <c r="P23" i="4"/>
  <c r="P19" i="4"/>
  <c r="P18" i="4"/>
  <c r="P17" i="4"/>
  <c r="P10" i="4"/>
  <c r="P11" i="4"/>
  <c r="P12" i="4"/>
  <c r="P13" i="4"/>
  <c r="P9" i="4"/>
  <c r="P32" i="2"/>
  <c r="P33" i="2"/>
  <c r="AC10" i="2"/>
  <c r="P45" i="2"/>
  <c r="P44" i="2"/>
  <c r="P43" i="2"/>
  <c r="P42" i="2"/>
  <c r="P37" i="2"/>
  <c r="P36" i="2"/>
  <c r="P35" i="2"/>
  <c r="P34" i="2"/>
  <c r="P27" i="2"/>
  <c r="P25" i="2"/>
  <c r="P24" i="2"/>
  <c r="P23" i="2"/>
  <c r="P21" i="2"/>
  <c r="P20" i="2"/>
  <c r="P19" i="2"/>
  <c r="P18" i="2"/>
  <c r="P16" i="2"/>
  <c r="P15" i="2"/>
  <c r="P14" i="2"/>
  <c r="P13" i="2"/>
  <c r="P12" i="2"/>
  <c r="P11" i="2"/>
  <c r="AD10" i="2"/>
  <c r="X37" i="2"/>
  <c r="X36" i="2"/>
  <c r="X35" i="2"/>
  <c r="X34" i="2"/>
  <c r="X33" i="2"/>
  <c r="X32" i="2"/>
  <c r="S20" i="2"/>
  <c r="S19" i="2"/>
  <c r="S18" i="2"/>
  <c r="Q19" i="2"/>
  <c r="U19" i="2"/>
  <c r="X19" i="2"/>
  <c r="R19" i="2"/>
  <c r="R18" i="2"/>
  <c r="S13" i="2"/>
  <c r="S14" i="2"/>
  <c r="S15" i="2"/>
  <c r="S16" i="2"/>
  <c r="S21" i="2"/>
  <c r="S23" i="2"/>
  <c r="S24" i="2"/>
  <c r="S25" i="2"/>
  <c r="S27" i="2"/>
  <c r="S37" i="2"/>
  <c r="S36" i="2"/>
  <c r="S35" i="2"/>
  <c r="S34" i="2"/>
  <c r="S33" i="2"/>
  <c r="S32" i="2"/>
  <c r="S45" i="2"/>
  <c r="S44" i="2"/>
  <c r="S43" i="2"/>
  <c r="S42" i="2"/>
  <c r="S19" i="4"/>
  <c r="S18" i="4"/>
  <c r="S17" i="4"/>
  <c r="S13" i="4"/>
  <c r="S12" i="4"/>
  <c r="S11" i="4"/>
  <c r="S10" i="4"/>
  <c r="S9" i="4"/>
  <c r="S41" i="4"/>
  <c r="S40" i="4"/>
  <c r="S39" i="4"/>
  <c r="S38" i="4"/>
  <c r="S37" i="4"/>
  <c r="S36" i="4"/>
  <c r="S35" i="4"/>
  <c r="S34" i="4"/>
  <c r="S25" i="4"/>
  <c r="S24" i="4"/>
  <c r="S23" i="4"/>
  <c r="S30" i="4"/>
  <c r="S29" i="4"/>
  <c r="V11" i="2"/>
  <c r="T11" i="2"/>
  <c r="Y12" i="2"/>
  <c r="T12" i="2"/>
  <c r="Y11" i="2"/>
  <c r="Y10" i="2"/>
  <c r="V10" i="2"/>
  <c r="T10" i="2"/>
  <c r="Z11" i="2"/>
  <c r="Z10" i="2"/>
  <c r="O25" i="21"/>
  <c r="O27" i="21" s="1"/>
  <c r="O21" i="21"/>
  <c r="O20" i="21"/>
  <c r="O19" i="21"/>
  <c r="V13" i="1"/>
  <c r="V14" i="1"/>
  <c r="V15" i="1"/>
  <c r="V21" i="1"/>
  <c r="V20" i="1"/>
  <c r="T21" i="1"/>
  <c r="T15" i="1"/>
  <c r="T13" i="1"/>
  <c r="E55" i="5"/>
  <c r="L26" i="1" s="1"/>
  <c r="N55" i="5"/>
  <c r="N26" i="1" s="1"/>
  <c r="V19" i="1"/>
  <c r="V18" i="1"/>
  <c r="V17" i="1"/>
  <c r="V16" i="1"/>
  <c r="V12" i="1"/>
  <c r="V11" i="1"/>
  <c r="T20" i="1"/>
  <c r="T19" i="1"/>
  <c r="T18" i="1"/>
  <c r="T17" i="1"/>
  <c r="T16" i="1"/>
  <c r="T14" i="1"/>
  <c r="T12" i="1"/>
  <c r="T11" i="1"/>
  <c r="N5" i="21"/>
  <c r="O10" i="21"/>
  <c r="O11" i="21"/>
  <c r="N5" i="5"/>
  <c r="N40" i="5"/>
  <c r="C9" i="2"/>
  <c r="R14" i="4"/>
  <c r="Q13" i="4"/>
  <c r="Q12" i="4"/>
  <c r="Q11" i="4"/>
  <c r="Q10" i="4"/>
  <c r="Q9" i="4"/>
  <c r="W9" i="4" s="1"/>
  <c r="Q19" i="4"/>
  <c r="Q18" i="4"/>
  <c r="Q17" i="4"/>
  <c r="Q25" i="4"/>
  <c r="W25" i="4" s="1"/>
  <c r="Q24" i="4"/>
  <c r="W24" i="4" s="1"/>
  <c r="Q23" i="4"/>
  <c r="W23" i="4" s="1"/>
  <c r="M15" i="5"/>
  <c r="N15" i="5" s="1"/>
  <c r="AA10" i="2"/>
  <c r="AA11" i="2"/>
  <c r="AA12" i="2"/>
  <c r="N1" i="21"/>
  <c r="L1" i="5"/>
  <c r="N1" i="4"/>
  <c r="N1" i="2"/>
  <c r="R5" i="2"/>
  <c r="K72" i="19"/>
  <c r="N2" i="21"/>
  <c r="B3" i="21"/>
  <c r="I3" i="4"/>
  <c r="G3" i="21" s="1"/>
  <c r="R3" i="2"/>
  <c r="R3" i="4" s="1"/>
  <c r="N3" i="5" s="1"/>
  <c r="N3" i="21" s="1"/>
  <c r="N4" i="21"/>
  <c r="O33" i="21"/>
  <c r="O31" i="21"/>
  <c r="O16" i="21"/>
  <c r="O12" i="21"/>
  <c r="O13" i="21"/>
  <c r="O14" i="21"/>
  <c r="L2" i="5"/>
  <c r="C3" i="5"/>
  <c r="N4" i="5"/>
  <c r="N10" i="2"/>
  <c r="X10" i="2"/>
  <c r="Q11" i="2"/>
  <c r="AH11" i="2" s="1"/>
  <c r="Q12" i="2"/>
  <c r="AH12" i="2" s="1"/>
  <c r="Q13" i="2"/>
  <c r="AH13" i="2" s="1"/>
  <c r="N14" i="2"/>
  <c r="X14" i="2" s="1"/>
  <c r="N15" i="2"/>
  <c r="U15" i="2" s="1"/>
  <c r="N16" i="2"/>
  <c r="Q16" i="2" s="1"/>
  <c r="AH16" i="2" s="1"/>
  <c r="X18" i="2"/>
  <c r="Q20" i="2"/>
  <c r="N21" i="2"/>
  <c r="X21" i="2" s="1"/>
  <c r="N23" i="2"/>
  <c r="Q23" i="2" s="1"/>
  <c r="N24" i="2"/>
  <c r="Q24" i="2" s="1"/>
  <c r="N25" i="2"/>
  <c r="U25" i="2" s="1"/>
  <c r="N27" i="2"/>
  <c r="U27" i="2" s="1"/>
  <c r="Q32" i="2"/>
  <c r="Q33" i="2"/>
  <c r="AH33" i="2" s="1"/>
  <c r="G30" i="2" s="1"/>
  <c r="Q34" i="2"/>
  <c r="Q35" i="2"/>
  <c r="Q36" i="2"/>
  <c r="Q37" i="2"/>
  <c r="Q42" i="2"/>
  <c r="Q43" i="2"/>
  <c r="AH43" i="2" s="1"/>
  <c r="G40" i="2" s="1"/>
  <c r="Q44" i="2"/>
  <c r="Q45" i="2"/>
  <c r="Q29" i="4"/>
  <c r="Q30" i="4"/>
  <c r="Q31" i="4" s="1"/>
  <c r="M16" i="5" s="1"/>
  <c r="N16" i="5" s="1"/>
  <c r="N18" i="5"/>
  <c r="N19" i="5"/>
  <c r="N20" i="5"/>
  <c r="N21" i="5"/>
  <c r="N22" i="5"/>
  <c r="N23" i="5"/>
  <c r="N28" i="5"/>
  <c r="N29" i="5"/>
  <c r="N30" i="5"/>
  <c r="N31" i="5"/>
  <c r="N32" i="5"/>
  <c r="N33" i="5"/>
  <c r="N39" i="5"/>
  <c r="N44" i="5" s="1"/>
  <c r="L17" i="1" s="1"/>
  <c r="U38" i="5"/>
  <c r="N41" i="5"/>
  <c r="U39" i="5"/>
  <c r="U40" i="5"/>
  <c r="N2" i="4"/>
  <c r="C3" i="4"/>
  <c r="R4" i="4"/>
  <c r="R5" i="4"/>
  <c r="R20" i="4"/>
  <c r="R26" i="4"/>
  <c r="R29" i="4"/>
  <c r="R31" i="4" s="1"/>
  <c r="R30" i="4"/>
  <c r="Q34" i="4"/>
  <c r="Q35" i="4"/>
  <c r="Q36" i="4"/>
  <c r="Q37" i="4"/>
  <c r="Q38" i="4"/>
  <c r="Q39" i="4"/>
  <c r="Q40" i="4"/>
  <c r="Q41" i="4"/>
  <c r="R42" i="4"/>
  <c r="N2" i="2"/>
  <c r="C3" i="2"/>
  <c r="R4" i="2"/>
  <c r="W10" i="2"/>
  <c r="W11" i="2"/>
  <c r="U11" i="2"/>
  <c r="X11" i="2"/>
  <c r="W12" i="2"/>
  <c r="U12" i="2"/>
  <c r="X12" i="2"/>
  <c r="R13" i="2"/>
  <c r="R14" i="2"/>
  <c r="R15" i="2"/>
  <c r="R16" i="2"/>
  <c r="U17" i="2"/>
  <c r="X17" i="2"/>
  <c r="R20" i="2"/>
  <c r="U20" i="2"/>
  <c r="X20" i="2"/>
  <c r="R21" i="2"/>
  <c r="U22" i="2"/>
  <c r="X22" i="2"/>
  <c r="A23" i="2"/>
  <c r="R23" i="2"/>
  <c r="R24" i="2"/>
  <c r="A25" i="2"/>
  <c r="R25" i="2"/>
  <c r="U26" i="2"/>
  <c r="X26" i="2"/>
  <c r="R32" i="2"/>
  <c r="R33" i="2"/>
  <c r="R34" i="2"/>
  <c r="R35" i="2"/>
  <c r="R36" i="2"/>
  <c r="R37" i="2"/>
  <c r="U32" i="2"/>
  <c r="U33" i="2"/>
  <c r="U34" i="2"/>
  <c r="U35" i="2"/>
  <c r="U36" i="2"/>
  <c r="U37" i="2"/>
  <c r="A36" i="2"/>
  <c r="R42" i="2"/>
  <c r="R43" i="2"/>
  <c r="R44" i="2"/>
  <c r="R45" i="2"/>
  <c r="V5" i="1"/>
  <c r="V6" i="1"/>
  <c r="V7" i="1"/>
  <c r="X13" i="2"/>
  <c r="U13" i="2"/>
  <c r="U18" i="2"/>
  <c r="Q18" i="2"/>
  <c r="U10" i="2"/>
  <c r="Q10" i="2"/>
  <c r="AH10" i="2" s="1"/>
  <c r="M14" i="5" l="1"/>
  <c r="N14" i="5" s="1"/>
  <c r="W17" i="4"/>
  <c r="P20" i="4"/>
  <c r="Q26" i="4"/>
  <c r="G22" i="4" s="1"/>
  <c r="V18" i="4"/>
  <c r="W18" i="4"/>
  <c r="G16" i="4" s="1"/>
  <c r="P26" i="4"/>
  <c r="P42" i="4"/>
  <c r="Q42" i="4"/>
  <c r="G33" i="4" s="1"/>
  <c r="S14" i="4"/>
  <c r="S26" i="4"/>
  <c r="S42" i="4"/>
  <c r="X38" i="2"/>
  <c r="X24" i="2"/>
  <c r="Q21" i="2"/>
  <c r="R12" i="2"/>
  <c r="X27" i="2"/>
  <c r="U21" i="2"/>
  <c r="Q27" i="2"/>
  <c r="U24" i="2"/>
  <c r="S12" i="2"/>
  <c r="U23" i="2"/>
  <c r="X25" i="2"/>
  <c r="U16" i="2"/>
  <c r="R11" i="2"/>
  <c r="P38" i="2"/>
  <c r="X16" i="2"/>
  <c r="Q38" i="2"/>
  <c r="M10" i="5" s="1"/>
  <c r="N10" i="5" s="1"/>
  <c r="U38" i="2"/>
  <c r="S38" i="2"/>
  <c r="S31" i="4"/>
  <c r="S20" i="4"/>
  <c r="R38" i="2"/>
  <c r="R46" i="2"/>
  <c r="L15" i="1" s="1"/>
  <c r="Q25" i="2"/>
  <c r="Q14" i="2"/>
  <c r="AH14" i="2" s="1"/>
  <c r="G7" i="2" s="1"/>
  <c r="S11" i="2"/>
  <c r="U14" i="2"/>
  <c r="S10" i="2"/>
  <c r="Q15" i="2"/>
  <c r="AH15" i="2" s="1"/>
  <c r="P14" i="4"/>
  <c r="X23" i="2"/>
  <c r="Q14" i="4"/>
  <c r="X15" i="2"/>
  <c r="Q20" i="4"/>
  <c r="F44" i="5"/>
  <c r="M11" i="5"/>
  <c r="N11" i="5" s="1"/>
  <c r="Q46" i="2"/>
  <c r="S46" i="2"/>
  <c r="P46" i="2"/>
  <c r="O37" i="21"/>
  <c r="L18" i="1" s="1"/>
  <c r="M12" i="5"/>
  <c r="N12" i="5" s="1"/>
  <c r="D6" i="1"/>
  <c r="E24" i="1" s="1"/>
  <c r="AE10" i="2"/>
  <c r="O10" i="2" s="1"/>
  <c r="P10" i="2" s="1"/>
  <c r="P28" i="2" s="1"/>
  <c r="I37" i="1" s="1"/>
  <c r="S33" i="1" s="1"/>
  <c r="R10" i="2"/>
  <c r="M13" i="5" l="1"/>
  <c r="N13" i="5" s="1"/>
  <c r="G8" i="4"/>
  <c r="U28" i="2"/>
  <c r="R28" i="2"/>
  <c r="L14" i="1" s="1"/>
  <c r="Q28" i="2"/>
  <c r="M9" i="5" s="1"/>
  <c r="N9" i="5" s="1"/>
  <c r="S28" i="2"/>
  <c r="N20" i="1" s="1"/>
  <c r="N25" i="1" s="1"/>
  <c r="N28" i="1" s="1"/>
  <c r="N30" i="1" s="1"/>
  <c r="X28" i="2"/>
  <c r="L24" i="1"/>
  <c r="N36" i="5" l="1"/>
  <c r="L16" i="1" s="1"/>
  <c r="N27" i="1"/>
  <c r="N29" i="1"/>
  <c r="I38" i="1" l="1"/>
  <c r="L19" i="1"/>
  <c r="L25" i="1" s="1"/>
  <c r="L28" i="1" s="1"/>
  <c r="L29" i="1" s="1"/>
  <c r="S34" i="1" l="1"/>
  <c r="S35" i="1" s="1"/>
  <c r="F34" i="1" s="1"/>
  <c r="G34" i="1" s="1"/>
  <c r="F36" i="1"/>
  <c r="G36" i="1" s="1"/>
  <c r="L27" i="1"/>
  <c r="L30" i="1"/>
  <c r="R12" i="1" l="1"/>
  <c r="W17" i="1" s="1"/>
  <c r="X17" i="1" s="1"/>
  <c r="W21" i="1" l="1"/>
  <c r="X21" i="1" s="1"/>
  <c r="W14" i="1"/>
  <c r="X14" i="1" s="1"/>
  <c r="W12" i="1"/>
  <c r="X12" i="1" s="1"/>
  <c r="W16" i="1"/>
  <c r="X16" i="1" s="1"/>
  <c r="W13" i="1"/>
  <c r="X13" i="1" s="1"/>
  <c r="W18" i="1"/>
  <c r="X18" i="1" s="1"/>
  <c r="W11" i="1"/>
  <c r="X11" i="1" s="1"/>
  <c r="W15" i="1"/>
  <c r="X15" i="1" s="1"/>
  <c r="W20" i="1"/>
  <c r="X20" i="1" s="1"/>
  <c r="W19" i="1"/>
  <c r="X19" i="1" s="1"/>
  <c r="X22" i="1" l="1"/>
  <c r="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Fritz Birrer</author>
  </authors>
  <commentList>
    <comment ref="G1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75% Gülle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25% Mist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50% Gülle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4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50% Mist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25% Gülle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4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75% Mist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<sst xmlns="http://schemas.openxmlformats.org/spreadsheetml/2006/main" count="625" uniqueCount="350">
  <si>
    <t>Berechnung der Lagerkapazität für Hofdünger und Abwasser</t>
  </si>
  <si>
    <t>Betrieb-Nr.:</t>
  </si>
  <si>
    <t>Gemeinde:</t>
  </si>
  <si>
    <t>Monate</t>
  </si>
  <si>
    <t>Datum:</t>
  </si>
  <si>
    <t>Rindvieh</t>
  </si>
  <si>
    <t>Pferde</t>
  </si>
  <si>
    <t xml:space="preserve"> </t>
  </si>
  <si>
    <t>Schweine</t>
  </si>
  <si>
    <t>Zuchteber</t>
  </si>
  <si>
    <t>Geflügel</t>
  </si>
  <si>
    <t>Mastpoulets</t>
  </si>
  <si>
    <t>Betriebsabwasser</t>
  </si>
  <si>
    <t>Reinigung</t>
  </si>
  <si>
    <t>Milchkammer</t>
  </si>
  <si>
    <t>Kühltank</t>
  </si>
  <si>
    <t>Melkstand</t>
  </si>
  <si>
    <t>Vorrat</t>
  </si>
  <si>
    <t>Manko</t>
  </si>
  <si>
    <t>%</t>
  </si>
  <si>
    <t>Ort / Datum:</t>
  </si>
  <si>
    <t>Grossviehmast</t>
  </si>
  <si>
    <t>Kälbermast</t>
  </si>
  <si>
    <t>Ziegen</t>
  </si>
  <si>
    <t>Nutzgeflügel</t>
  </si>
  <si>
    <t>Legehennen</t>
  </si>
  <si>
    <t>Kaninchen</t>
  </si>
  <si>
    <t>Zwischentotal Rindvieh</t>
  </si>
  <si>
    <t>Zwischentotal Pferde</t>
  </si>
  <si>
    <t>Zwischentotal Schafe</t>
  </si>
  <si>
    <t>Zwischentotal Ziegen</t>
  </si>
  <si>
    <t>Zwischentotal Schweine</t>
  </si>
  <si>
    <t>Zwischentotal Nutzgeflügel</t>
  </si>
  <si>
    <t>Erfassen des übrigen Tierbestandes</t>
  </si>
  <si>
    <t>Berater:</t>
  </si>
  <si>
    <t>Erfassen des Rindvieh-, Schweine-, Geflügelbestandes</t>
  </si>
  <si>
    <t>Bemerkung:</t>
  </si>
  <si>
    <t>Steuercode für Buttons</t>
  </si>
  <si>
    <t>Produktions-Zone:</t>
  </si>
  <si>
    <t>Nur Laufstallmist</t>
  </si>
  <si>
    <t>Geflügelmist (Kotband)</t>
  </si>
  <si>
    <t>Geflügelmist (Kotgrube)</t>
  </si>
  <si>
    <t>GVE</t>
  </si>
  <si>
    <t>Wasser für Stallreinigung und Tierpflege</t>
  </si>
  <si>
    <t>MSP</t>
  </si>
  <si>
    <t>Wasser zur Reinigung von Legehennenställen</t>
  </si>
  <si>
    <t>Wasser zur Reinigung von Mastgeflügelställen</t>
  </si>
  <si>
    <t>100 LHP</t>
  </si>
  <si>
    <t>Betrieb</t>
  </si>
  <si>
    <t>Hausabwasser</t>
  </si>
  <si>
    <t>Normale Verhältnisse
mit Waschmaschine, Bad/Dusche, WC</t>
  </si>
  <si>
    <t>Einfache Verhältnisse
mit einfachen sanitären Einrichtungen</t>
  </si>
  <si>
    <t>Sonderfall
mit dauernd deutlich geringerem Anfall</t>
  </si>
  <si>
    <t>Einheit</t>
  </si>
  <si>
    <t>Gülle</t>
  </si>
  <si>
    <t>Mist</t>
  </si>
  <si>
    <t>Faktor</t>
  </si>
  <si>
    <t>Gülle m3</t>
  </si>
  <si>
    <t>Mist t</t>
  </si>
  <si>
    <t>Stück</t>
  </si>
  <si>
    <t>Platz</t>
  </si>
  <si>
    <t>Zuchtstier</t>
  </si>
  <si>
    <t>Band</t>
  </si>
  <si>
    <t>Kotgrube / Bodenhaltung</t>
  </si>
  <si>
    <t>100 Pl.</t>
  </si>
  <si>
    <t>Junghennen</t>
  </si>
  <si>
    <t>Masttruten</t>
  </si>
  <si>
    <t>Milchkuh</t>
  </si>
  <si>
    <t>Jungvieh &lt; 1-jährig</t>
  </si>
  <si>
    <t>Jungvieh 1-2-jährig</t>
  </si>
  <si>
    <t>Rind &gt; 2-jährig</t>
  </si>
  <si>
    <t>Mastkalb (Platz)</t>
  </si>
  <si>
    <t>Mutterkuhkalb bis 400 kg</t>
  </si>
  <si>
    <t>Maultiere, Maulesel</t>
  </si>
  <si>
    <t>Ponies, Kleinpferde und Esel</t>
  </si>
  <si>
    <t>Pferd &gt; 3-jährig</t>
  </si>
  <si>
    <t>Zuchtschwein inkl. Ferkel bis 25 kg</t>
  </si>
  <si>
    <t>m3/Jahr</t>
  </si>
  <si>
    <t>100 Pl</t>
  </si>
  <si>
    <t>Weidemastlamm (Stück)</t>
  </si>
  <si>
    <t>Rothirsch jeden Alters</t>
  </si>
  <si>
    <t>Lama &gt; 2-jährig</t>
  </si>
  <si>
    <t>Lama &lt; 2-jährig</t>
  </si>
  <si>
    <t>Alpaka &gt; 2-jährig</t>
  </si>
  <si>
    <t>Alpaka &lt; 2-jährig</t>
  </si>
  <si>
    <t>Bison &gt; 3-jährig</t>
  </si>
  <si>
    <t>Bison &lt; 3-jährig</t>
  </si>
  <si>
    <t>Damhirsch jeden Alters</t>
  </si>
  <si>
    <t>Mistanfall</t>
  </si>
  <si>
    <t>Gülleanfall verdünnt</t>
  </si>
  <si>
    <t>Berechnung des Lagervolumens für Güllegrube und Mistplatz</t>
  </si>
  <si>
    <t xml:space="preserve">Schafe  </t>
  </si>
  <si>
    <t>Ist-Zustand: Lagervolumen in Prozent des Bedarf</t>
  </si>
  <si>
    <t>Soll-Zustand: Minimale Lagerdauer</t>
  </si>
  <si>
    <t>GVE pro Einheit</t>
  </si>
  <si>
    <t>MSP pro Einheit</t>
  </si>
  <si>
    <t>100 LHP pro Einheit</t>
  </si>
  <si>
    <t>Anzahl GVE</t>
  </si>
  <si>
    <t>Anzahl MSP</t>
  </si>
  <si>
    <t>Anzahl 100 LHP</t>
  </si>
  <si>
    <t>100 MPP</t>
  </si>
  <si>
    <t xml:space="preserve">Säugende Zuchtsau </t>
  </si>
  <si>
    <t xml:space="preserve">Mastschwein 25 - 100 kg LG, Remonten  </t>
  </si>
  <si>
    <t xml:space="preserve">Ferkel abgesetzt  </t>
  </si>
  <si>
    <t xml:space="preserve">Galtsau  </t>
  </si>
  <si>
    <t xml:space="preserve">Rindviehmast, Tränker &lt; 4 Mte.  </t>
  </si>
  <si>
    <t>Hofdüngeranfall zur Berechnung der Lagervolumen</t>
  </si>
  <si>
    <t xml:space="preserve">Mastkalb </t>
  </si>
  <si>
    <t>nur Vollgülle</t>
  </si>
  <si>
    <t>Lauftstallmist und viel Vollgülle</t>
  </si>
  <si>
    <t>Laufstallmist und Vollgülle</t>
  </si>
  <si>
    <t>Lauftstallmist und wenig Vollgülle</t>
  </si>
  <si>
    <t>(LM 75: 60-90% eingestreut)</t>
  </si>
  <si>
    <t>Reinigung:</t>
  </si>
  <si>
    <t>Melkanlage</t>
  </si>
  <si>
    <t xml:space="preserve">Güllegrube </t>
  </si>
  <si>
    <t xml:space="preserve">
Produktions-stätte:</t>
  </si>
  <si>
    <r>
      <t xml:space="preserve">Erfassen des Abwasseranfalls </t>
    </r>
    <r>
      <rPr>
        <sz val="12"/>
        <rFont val="Arial"/>
        <family val="2"/>
      </rPr>
      <t>(Betrieb und Wohnungen)</t>
    </r>
  </si>
  <si>
    <t>Abwasser aus Flachsilo</t>
  </si>
  <si>
    <t>Talzone</t>
  </si>
  <si>
    <t>Hügelzone</t>
  </si>
  <si>
    <t>Bergzone</t>
  </si>
  <si>
    <t>Nicht im Bereich der öffentlichen Kanalisation:</t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</si>
  <si>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/Jahr</t>
    </r>
  </si>
  <si>
    <r>
      <t>m</t>
    </r>
    <r>
      <rPr>
        <vertAlign val="superscript"/>
        <sz val="11"/>
        <rFont val="Arial"/>
        <family val="2"/>
      </rPr>
      <t>3</t>
    </r>
  </si>
  <si>
    <t>Automatisches Melksystem</t>
  </si>
  <si>
    <r>
      <t>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Gülle Anfall pro Jahr</t>
    </r>
  </si>
  <si>
    <r>
      <t>Fläche in m</t>
    </r>
    <r>
      <rPr>
        <vertAlign val="superscript"/>
        <sz val="11"/>
        <rFont val="Arial"/>
        <family val="2"/>
      </rPr>
      <t>2</t>
    </r>
  </si>
  <si>
    <r>
      <t>m</t>
    </r>
    <r>
      <rPr>
        <b/>
        <vertAlign val="superscript"/>
        <sz val="11"/>
        <rFont val="Arial"/>
        <family val="2"/>
      </rPr>
      <t xml:space="preserve">3 </t>
    </r>
    <r>
      <rPr>
        <b/>
        <sz val="11"/>
        <rFont val="Arial"/>
        <family val="2"/>
      </rPr>
      <t>Gülle Anfall pro Jahr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</si>
  <si>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Gülle Anfall pro Jahr</t>
    </r>
  </si>
  <si>
    <t>Abschlämmwasser Biowäscher gemäss Angaben Hersteller</t>
  </si>
  <si>
    <t>Art des Abwassers</t>
  </si>
  <si>
    <t>Anzahl Tage      in Betrieb</t>
  </si>
  <si>
    <t>Belegungs-grad (%)</t>
  </si>
  <si>
    <t>Anfall</t>
  </si>
  <si>
    <t>Restaurationsbetriebe</t>
  </si>
  <si>
    <t>Restaurant normale Belegung</t>
  </si>
  <si>
    <t>Sitzplatz</t>
  </si>
  <si>
    <t>Saal, Garten von Restaurant</t>
  </si>
  <si>
    <t>Partyraum</t>
  </si>
  <si>
    <t>Ferien auf dem Baurnhof</t>
  </si>
  <si>
    <t>Bett</t>
  </si>
  <si>
    <t>Schlafen im Stroh</t>
  </si>
  <si>
    <t>1000 kg Milch</t>
  </si>
  <si>
    <t>Grossvieh</t>
  </si>
  <si>
    <t>Kleinvieh</t>
  </si>
  <si>
    <t>Kleinmosterei</t>
  </si>
  <si>
    <t>t Früchte</t>
  </si>
  <si>
    <t>Sauerkrautproduktion</t>
  </si>
  <si>
    <t>t Kraut</t>
  </si>
  <si>
    <t>Brennerei</t>
  </si>
  <si>
    <t>hl.r. Alkohol</t>
  </si>
  <si>
    <t>Ausmastkuh</t>
  </si>
  <si>
    <t>Milchmenge kg</t>
  </si>
  <si>
    <t>Eimermelkanlage</t>
  </si>
  <si>
    <t>nicht überdachte in Güllegrube entwässerte Flächen</t>
  </si>
  <si>
    <t>Mistplatz</t>
  </si>
  <si>
    <t>Laufhof und andere Auslaufflächen</t>
  </si>
  <si>
    <t>offene Jauchegrube</t>
  </si>
  <si>
    <t>Flachsilo</t>
  </si>
  <si>
    <t>andere Flächen</t>
  </si>
  <si>
    <t>Abwasser Mistplatz, Laufhof, Waschplatz etc.</t>
  </si>
  <si>
    <t xml:space="preserve">Anzahl Melkeinheiten   </t>
  </si>
  <si>
    <t xml:space="preserve">Anzahl Einheiten   </t>
  </si>
  <si>
    <r>
      <t>Fläche in m</t>
    </r>
    <r>
      <rPr>
        <vertAlign val="superscript"/>
        <sz val="11"/>
        <rFont val="Arial"/>
        <family val="2"/>
      </rPr>
      <t xml:space="preserve">2      </t>
    </r>
  </si>
  <si>
    <t>Eigene Lagerkapazität vorhanden</t>
  </si>
  <si>
    <t>Lagerkapazität geplant</t>
  </si>
  <si>
    <t>Lagerkapazität gemietet</t>
  </si>
  <si>
    <t>Ist-Zustand: Lagervolumen</t>
  </si>
  <si>
    <t xml:space="preserve">Ist-Zustand: maximale Lagerdauer </t>
  </si>
  <si>
    <t>Gülleanfall</t>
  </si>
  <si>
    <t>Galtkuh</t>
  </si>
  <si>
    <t>Geflügelmist 
verflüssigt</t>
  </si>
  <si>
    <r>
      <t>m</t>
    </r>
    <r>
      <rPr>
        <vertAlign val="superscript"/>
        <sz val="11"/>
        <rFont val="Arial"/>
        <family val="2"/>
      </rPr>
      <t xml:space="preserve">3  </t>
    </r>
  </si>
  <si>
    <t>Geflügelkot 
verflüssigt</t>
  </si>
  <si>
    <t>Geflügelkot in Gülle</t>
  </si>
  <si>
    <t>Geflügelmist in Gülle</t>
  </si>
  <si>
    <t>Landwirtschaftlicher Nebenerwerb</t>
  </si>
  <si>
    <r>
      <t>Erfassen des Abwasseranfalls</t>
    </r>
    <r>
      <rPr>
        <b/>
        <sz val="13"/>
        <rFont val="Arial"/>
        <family val="2"/>
      </rPr>
      <t xml:space="preserve"> (Nebenerwerb)</t>
    </r>
  </si>
  <si>
    <t xml:space="preserve">Volumen(l)   </t>
  </si>
  <si>
    <r>
      <t>Zwischentotal Betriebsabwasser m</t>
    </r>
    <r>
      <rPr>
        <b/>
        <vertAlign val="superscript"/>
        <sz val="11"/>
        <rFont val="Arial Black"/>
        <family val="2"/>
      </rPr>
      <t>3</t>
    </r>
  </si>
  <si>
    <t>Abwasser Landwirtschaftlicher Nebenerwerb</t>
  </si>
  <si>
    <t>Laufstallmist und Vollgülle
(40-60% eingestreut)</t>
  </si>
  <si>
    <t>Laufstallmist und wenig Vollgülle 
(60-90% eingestreut)</t>
  </si>
  <si>
    <t xml:space="preserve">Nur Vollgülle </t>
  </si>
  <si>
    <t xml:space="preserve">Nur Laufstallmist </t>
  </si>
  <si>
    <t>Laufstallmist und wenig Vollgülle (60-90% eingestreut)</t>
  </si>
  <si>
    <t>Biowäscher</t>
  </si>
  <si>
    <t>Andere Raufutterverzehrende Tiere</t>
  </si>
  <si>
    <t xml:space="preserve">Rindviehmast intentsiv 65-520 kg  </t>
  </si>
  <si>
    <t xml:space="preserve">Rindviehmast intentsiv &gt; 4 Mte.  </t>
  </si>
  <si>
    <t>Produzierende Zibben (inkl. Jungtiere bis ca. 35 Tage)</t>
  </si>
  <si>
    <t>Jungtiere (Mast- bzw. Aufzucht; ab 35 Tage)</t>
  </si>
  <si>
    <t>Stallreinigung und Tierpflege Rindvieh</t>
  </si>
  <si>
    <t>(100 LHP = 250 MPP)</t>
  </si>
  <si>
    <t xml:space="preserve">Anzahl Standplätze   </t>
  </si>
  <si>
    <t>Kaninchenmist in Gülle</t>
  </si>
  <si>
    <t>Wasser zur Reinigung von Ställen</t>
  </si>
  <si>
    <t>Zwischentotal Kaninchen</t>
  </si>
  <si>
    <t xml:space="preserve"> Nur Mist</t>
  </si>
  <si>
    <t xml:space="preserve"> Mist 
 verflüssigt</t>
  </si>
  <si>
    <t>Weidemastgitzi (Stück)</t>
  </si>
  <si>
    <t>Weidemastlamm / -gitzi (Stück)</t>
  </si>
  <si>
    <r>
      <t>Zwischentotal Hausabwasser m</t>
    </r>
    <r>
      <rPr>
        <b/>
        <vertAlign val="superscript"/>
        <sz val="11"/>
        <rFont val="Arial Black"/>
        <family val="2"/>
      </rPr>
      <t>3</t>
    </r>
  </si>
  <si>
    <r>
      <t>Güllegruben und Schwemmkanäle m</t>
    </r>
    <r>
      <rPr>
        <b/>
        <vertAlign val="superscript"/>
        <sz val="12"/>
        <rFont val="Arial Black"/>
        <family val="2"/>
      </rPr>
      <t>3</t>
    </r>
  </si>
  <si>
    <r>
      <t>Zwischentotal Grubenvolumen m</t>
    </r>
    <r>
      <rPr>
        <b/>
        <vertAlign val="superscript"/>
        <sz val="11"/>
        <rFont val="Arial Black"/>
        <family val="2"/>
      </rPr>
      <t>3</t>
    </r>
  </si>
  <si>
    <r>
      <t>Zwischentotal Mistlager m</t>
    </r>
    <r>
      <rPr>
        <b/>
        <vertAlign val="superscript"/>
        <sz val="11"/>
        <rFont val="Arial Black"/>
        <family val="2"/>
      </rPr>
      <t>3</t>
    </r>
  </si>
  <si>
    <t>Käsereien</t>
  </si>
  <si>
    <t>Betriebsleiterhaus</t>
  </si>
  <si>
    <t>Stöckli</t>
  </si>
  <si>
    <t>andere Wohnungen</t>
  </si>
  <si>
    <t>bewohnbare Zimmer</t>
  </si>
  <si>
    <t>Anzahl Bewohner</t>
  </si>
  <si>
    <t>Kanalisations-anschluss</t>
  </si>
  <si>
    <r>
      <t>Korrektur häusliches Abwasser  pauschal +/- Anzahl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pro Jahr</t>
    </r>
  </si>
  <si>
    <r>
      <t>Korrektur Betriebsabwasser pauschal +/- Anzahl m</t>
    </r>
    <r>
      <rPr>
        <vertAlign val="superscript"/>
        <sz val="11"/>
        <rFont val="Arial"/>
        <family val="2"/>
      </rPr>
      <t xml:space="preserve">3 </t>
    </r>
    <r>
      <rPr>
        <sz val="11"/>
        <rFont val="Arial"/>
        <family val="2"/>
      </rPr>
      <t>pro Jahr</t>
    </r>
  </si>
  <si>
    <t>Blatt 2</t>
  </si>
  <si>
    <t>Blatt 3</t>
  </si>
  <si>
    <t>Blatt 4</t>
  </si>
  <si>
    <t>Blatt 5</t>
  </si>
  <si>
    <t xml:space="preserve">DGVE </t>
  </si>
  <si>
    <t>Tierart</t>
  </si>
  <si>
    <t>Milchschafe / Milchziegen</t>
  </si>
  <si>
    <t xml:space="preserve">Stallreinigung und Tierpflege </t>
  </si>
  <si>
    <t>Anzahl 100 MPP</t>
  </si>
  <si>
    <t xml:space="preserve">Reinigung von Legehennenställen </t>
  </si>
  <si>
    <t xml:space="preserve">Reinigung von Mastgeflügelställen </t>
  </si>
  <si>
    <t xml:space="preserve">Stallreinigung </t>
  </si>
  <si>
    <t>Milchschafe</t>
  </si>
  <si>
    <t>Milchziegen</t>
  </si>
  <si>
    <t>Laufstallmist und viel Vollgülle 
(10-40% eingestreut)</t>
  </si>
  <si>
    <r>
      <t>Betriebsabwasser
pro Jahr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</si>
  <si>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Hausabwasser
pro bewohnbare Zimmer und Jahr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</si>
  <si>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Gülle Anfall pro Jahr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</si>
  <si>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Zwischentotal landwirtschaftlicher Nebenerwerb m</t>
    </r>
    <r>
      <rPr>
        <b/>
        <vertAlign val="superscript"/>
        <sz val="11"/>
        <rFont val="Arial Black"/>
        <family val="2"/>
      </rPr>
      <t>3</t>
    </r>
  </si>
  <si>
    <r>
      <t>Erfassen der Hofdüngerlager</t>
    </r>
    <r>
      <rPr>
        <b/>
        <sz val="18"/>
        <rFont val="Arial"/>
        <family val="2"/>
      </rPr>
      <t xml:space="preserve"> </t>
    </r>
    <r>
      <rPr>
        <sz val="12"/>
        <rFont val="Arial"/>
        <family val="2"/>
      </rPr>
      <t>(Güllegruben, Mistlagerplätze)</t>
    </r>
  </si>
  <si>
    <r>
      <t xml:space="preserve">Hausabwasser </t>
    </r>
    <r>
      <rPr>
        <b/>
        <sz val="11"/>
        <rFont val="Arial"/>
        <family val="2"/>
      </rPr>
      <t>(normale Verhältnisse)</t>
    </r>
  </si>
  <si>
    <t>Mist verflüssigt</t>
  </si>
  <si>
    <t>Tierpflege</t>
  </si>
  <si>
    <t>Tierpflege Pferde</t>
  </si>
  <si>
    <t xml:space="preserve">Jahresniederschlag:  </t>
  </si>
  <si>
    <t>Waschplatz</t>
  </si>
  <si>
    <t>Grundlagen: GRUDAF 2009; Vollzugshilfe Umweltschutz in der Landwirtschaft, BAFU und BLW 2011; Nachweis.Plus, Agridea</t>
  </si>
  <si>
    <t>1000 mm</t>
  </si>
  <si>
    <t>1200 mm</t>
  </si>
  <si>
    <t>Jahresniederschlag</t>
  </si>
  <si>
    <t>Im Bereich der öffentlichen Kanalisation:</t>
  </si>
  <si>
    <t>(LM 25: 10 - 40% eingestreut)</t>
  </si>
  <si>
    <t>(LM 50: 40 - 60% eingestreut)</t>
  </si>
  <si>
    <t>Spaltenboden</t>
  </si>
  <si>
    <t>Lauftsallmist und Vollgülle 
(40-60% eingestreut)</t>
  </si>
  <si>
    <t xml:space="preserve">Schorrgraben, Laufstall mit befestigtem </t>
  </si>
  <si>
    <t>Tretmist, Tiefstreue (Offenfrontstall)</t>
  </si>
  <si>
    <t>Fressplatz, Tiefstreue mit Spaltenbodenfressplatz</t>
  </si>
  <si>
    <t>Auf-stallungs-system</t>
  </si>
  <si>
    <t>Gülleanfall unverdünnt (Vollgülle)</t>
  </si>
  <si>
    <t>Erstelldatum:</t>
  </si>
  <si>
    <t>Produktions-stätte (Adresse):</t>
  </si>
  <si>
    <t>Unterschrift Eigentümer oder Betreiber:</t>
  </si>
  <si>
    <t>Landwirtschaftliche Nutzfläche (ha):</t>
  </si>
  <si>
    <t>Düngbare Fläche (ha):</t>
  </si>
  <si>
    <t>Kanton Aargau</t>
  </si>
  <si>
    <t>Name, Vorname:</t>
  </si>
  <si>
    <t>Strasse:</t>
  </si>
  <si>
    <t>PLZ, Ort:</t>
  </si>
  <si>
    <t>Telefon:</t>
  </si>
  <si>
    <t>Hofdüngerabgabe:</t>
  </si>
  <si>
    <t>Mindestlagerdauer (Monate):</t>
  </si>
  <si>
    <t>säugende und trächtige Stute</t>
  </si>
  <si>
    <t>Milchschaf</t>
  </si>
  <si>
    <t>Schaf</t>
  </si>
  <si>
    <t>Milchziege</t>
  </si>
  <si>
    <t>Ziege</t>
  </si>
  <si>
    <t>Produktions-stätte</t>
  </si>
  <si>
    <t xml:space="preserve">Rindviehmast int. 65-520 kg </t>
  </si>
  <si>
    <t>Fohlen 1/2 - 3-jährig</t>
  </si>
  <si>
    <t xml:space="preserve">Ziege </t>
  </si>
  <si>
    <t xml:space="preserve">Mastschwein 25 - 100 kg LG, Remonten </t>
  </si>
  <si>
    <t xml:space="preserve">Galtsau </t>
  </si>
  <si>
    <t xml:space="preserve">Ferkel abgesetzt </t>
  </si>
  <si>
    <r>
      <t xml:space="preserve">Berechnung der Lagerkapazität für Hofdünger und Abwasser </t>
    </r>
    <r>
      <rPr>
        <sz val="10"/>
        <rFont val="Arial Black"/>
        <family val="2"/>
      </rPr>
      <t>(5 Seiten)</t>
    </r>
  </si>
  <si>
    <t>Anzahl    Einheiten</t>
  </si>
  <si>
    <t>Zwischentotal andere Raufutterverzehrende Tiere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</si>
  <si>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/ 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</si>
  <si>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/ 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</si>
  <si>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/ Jahr</t>
    </r>
  </si>
  <si>
    <t>plus je Melkeinheit</t>
  </si>
  <si>
    <t xml:space="preserve">Bedarf Lagervolumen  </t>
  </si>
  <si>
    <r>
      <t>Mistlagerplätze m</t>
    </r>
    <r>
      <rPr>
        <vertAlign val="superscript"/>
        <sz val="12"/>
        <rFont val="Arial Black"/>
        <family val="2"/>
      </rPr>
      <t xml:space="preserve">3 </t>
    </r>
  </si>
  <si>
    <t xml:space="preserve">
</t>
  </si>
  <si>
    <r>
      <t xml:space="preserve">Landwirtschaftliche Verwertung der häuslichen Abwässer </t>
    </r>
    <r>
      <rPr>
        <b/>
        <sz val="10"/>
        <rFont val="Arial Black"/>
        <family val="2"/>
      </rPr>
      <t>(nur für Betriebe ausserhalb Baugebiet zulässig)</t>
    </r>
  </si>
  <si>
    <t>Abwasseranfall gemäss Hersteller</t>
  </si>
  <si>
    <t>Bemerkungen:</t>
  </si>
  <si>
    <t>Bermerkungen:</t>
  </si>
  <si>
    <t>Lagerkapazität vermietet</t>
  </si>
  <si>
    <t>Vorhanden?</t>
  </si>
  <si>
    <t>Überprüfung</t>
  </si>
  <si>
    <t>Pflicht?</t>
  </si>
  <si>
    <t>Kontrollzahl</t>
  </si>
  <si>
    <t>Zahlenwerte vorhanden?</t>
  </si>
  <si>
    <t>Schlachttag</t>
  </si>
  <si>
    <t>Hochdruckwasser Anfall pro Jahr</t>
  </si>
  <si>
    <t>Schlachtlokale mit Normaldruckwasser</t>
  </si>
  <si>
    <r>
      <t>0.5 m</t>
    </r>
    <r>
      <rPr>
        <vertAlign val="superscript"/>
        <sz val="8"/>
        <rFont val="Arial"/>
        <family val="2"/>
      </rPr>
      <t>3</t>
    </r>
  </si>
  <si>
    <r>
      <t>2 m</t>
    </r>
    <r>
      <rPr>
        <vertAlign val="superscript"/>
        <sz val="8"/>
        <rFont val="Arial"/>
        <family val="2"/>
      </rPr>
      <t>3</t>
    </r>
  </si>
  <si>
    <r>
      <t>0.02 m</t>
    </r>
    <r>
      <rPr>
        <vertAlign val="superscript"/>
        <sz val="8"/>
        <rFont val="Arial"/>
        <family val="2"/>
      </rPr>
      <t>3</t>
    </r>
  </si>
  <si>
    <t>Korrektur Abzug Hochdruckwasserversorgung</t>
  </si>
  <si>
    <t>Kreislaufanlagen Fische</t>
  </si>
  <si>
    <r>
      <t xml:space="preserve">Ablaufwasser pro Tag mindstens 5% der Anlagegrösse </t>
    </r>
    <r>
      <rPr>
        <b/>
        <sz val="11"/>
        <rFont val="Arial"/>
        <family val="2"/>
      </rPr>
      <t/>
    </r>
  </si>
  <si>
    <t>Korrektur Abzug Ablaufwasser sofern nicht in Güllegrube geleitet</t>
  </si>
  <si>
    <t>Schlammanteil aus Rückspülung der Filter</t>
  </si>
  <si>
    <r>
      <t>10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Anlage</t>
    </r>
  </si>
  <si>
    <t>Betriebswasseranfall pauschal Erfahrungswert oder Korrektur +/-</t>
  </si>
  <si>
    <t>Grundlagen: GRUD 2017; Vollzugshilfe Umweltschutz in der Landwirtschaft, BAFU und BLW 2011; Nachweis.Plus, Agridea</t>
  </si>
  <si>
    <t>Mutterkuh schwer &gt; 700 kg</t>
  </si>
  <si>
    <t>je 1000 kg geringere Milchleistung als 7500 kg ist mit  5 % geringeren, je 1000 kg mehr Milchleistung ist mit 5 % höheren Anfallswertung zu rechnen</t>
  </si>
  <si>
    <t>Mutterkuh mittel 600-700 kg</t>
  </si>
  <si>
    <t xml:space="preserve">Grundlage: GRUD 2017 </t>
  </si>
  <si>
    <t>GVE-Faktor</t>
  </si>
  <si>
    <t>Raumgewicht</t>
  </si>
  <si>
    <t xml:space="preserve">m3 Mist- 
Anfall pro Jahr </t>
  </si>
  <si>
    <r>
      <t>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Mist- 
Anfall pro Jahr </t>
    </r>
  </si>
  <si>
    <r>
      <t>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 Kot Anfall pro Jahr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</si>
  <si>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Mist- 
Anfall pro Jahr</t>
    </r>
    <r>
      <rPr>
        <b/>
        <sz val="9"/>
        <rFont val="Arial"/>
        <family val="2"/>
      </rPr>
      <t xml:space="preserve"> 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</si>
  <si>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 Mist- 
Anfall pro Jahr</t>
    </r>
    <r>
      <rPr>
        <b/>
        <sz val="9"/>
        <rFont val="Arial"/>
        <family val="2"/>
      </rPr>
      <t xml:space="preserve"> </t>
    </r>
  </si>
  <si>
    <r>
      <t>m</t>
    </r>
    <r>
      <rPr>
        <vertAlign val="superscript"/>
        <sz val="11"/>
        <rFont val="Arial"/>
        <family val="2"/>
      </rPr>
      <t xml:space="preserve">3 </t>
    </r>
    <r>
      <rPr>
        <sz val="11"/>
        <rFont val="Arial"/>
        <family val="2"/>
      </rPr>
      <t>/Jahr</t>
    </r>
  </si>
  <si>
    <r>
      <t>Mistlager</t>
    </r>
    <r>
      <rPr>
        <sz val="11"/>
        <rFont val="Arial"/>
        <family val="2"/>
      </rPr>
      <t/>
    </r>
  </si>
  <si>
    <t>Mutterkuh schwer &gt; 700 kg, ohne Kalb</t>
  </si>
  <si>
    <t>Muttekuhhaltung</t>
  </si>
  <si>
    <t>Anzahl DGVE</t>
  </si>
  <si>
    <t>DGVE pro Einheit</t>
  </si>
  <si>
    <t>Mutterkuh leicht bis 600 kg, ohne Kalb</t>
  </si>
  <si>
    <t>Mutterkuh leicht bis 600 kg</t>
  </si>
  <si>
    <t>Mutterkuh mittel 600 - 700 kg, ohne Kalb</t>
  </si>
  <si>
    <t>Ngesamt</t>
  </si>
  <si>
    <t>Phosphor</t>
  </si>
  <si>
    <t>DGVE</t>
  </si>
  <si>
    <t>DGVE Faktor</t>
  </si>
  <si>
    <t>Anzahl DGVE Rinder und Schweine:</t>
  </si>
  <si>
    <t xml:space="preserve">Koordination 
Landwirtschaft / Umweltschutz
Anhang (Stand Juni 2019)
</t>
  </si>
  <si>
    <t>GVE Faktor</t>
  </si>
  <si>
    <t>DVGE Faktor</t>
  </si>
  <si>
    <t>Milchkuh (7500 kg Milchleistung)</t>
  </si>
  <si>
    <t xml:space="preserve">Korr Gülleanfall wenn Milchleistung kleiner als 7500kg </t>
  </si>
  <si>
    <t xml:space="preserve">Korr Gülleanfall wenn Milchleistung grösser als 7500 kg </t>
  </si>
  <si>
    <t>Korr Mistanfall wenn Milchleistung kleiner als 7500kg</t>
  </si>
  <si>
    <t>Korr MistGülleanfall wenn Milchleistung grösser als 7500 kg</t>
  </si>
  <si>
    <t>Anteil Vollgülle in der verdünnten Gülle (Verdünnung):</t>
  </si>
  <si>
    <t>(Praxis Kanton Aargau)</t>
  </si>
  <si>
    <t>Koordination 
Landwirtschaft / Umweltschutz
Formular (Stand August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</si>
</sst>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4"/>
      <name val="Arial Black"/>
      <family val="2"/>
    </font>
    <font>
      <sz val="14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15"/>
      <name val="Arial Black"/>
      <family val="2"/>
    </font>
    <font>
      <sz val="10"/>
      <name val="Arial Black"/>
      <family val="2"/>
    </font>
    <font>
      <b/>
      <sz val="13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b/>
      <sz val="16"/>
      <name val="Arial Black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10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b/>
      <sz val="11"/>
      <color indexed="10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sz val="12"/>
      <color indexed="8"/>
      <name val="Arial"/>
      <family val="2"/>
    </font>
    <font>
      <sz val="10"/>
      <color indexed="12"/>
      <name val="Arial"/>
      <family val="2"/>
    </font>
    <font>
      <b/>
      <i/>
      <sz val="11"/>
      <color indexed="12"/>
      <name val="Arial"/>
      <family val="2"/>
    </font>
    <font>
      <sz val="18"/>
      <color indexed="10"/>
      <name val="Arial"/>
      <family val="2"/>
    </font>
    <font>
      <strike/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1"/>
      <name val="Arial Black"/>
      <family val="2"/>
    </font>
    <font>
      <sz val="16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vertAlign val="superscript"/>
      <sz val="12"/>
      <name val="Arial Black"/>
      <family val="2"/>
    </font>
    <font>
      <b/>
      <vertAlign val="superscript"/>
      <sz val="12"/>
      <name val="Arial Black"/>
      <family val="2"/>
    </font>
    <font>
      <sz val="16"/>
      <color indexed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0"/>
      <name val="Arial Black"/>
      <family val="2"/>
    </font>
    <font>
      <vertAlign val="superscript"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206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i/>
      <sz val="10"/>
      <color rgb="FF00B050"/>
      <name val="Arial"/>
      <family val="2"/>
    </font>
    <font>
      <sz val="11"/>
      <color rgb="FF00B050"/>
      <name val="Arial"/>
      <family val="2"/>
    </font>
    <font>
      <b/>
      <sz val="11"/>
      <color rgb="FF00B05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099">
    <xf numFmtId="0" fontId="0" fillId="0" borderId="0" xfId="0"/>
    <xf numFmtId="0" fontId="49" fillId="0" borderId="2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21" fillId="0" borderId="2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34" fillId="2" borderId="0" xfId="0" applyFont="1" applyFill="1" applyProtection="1">
      <protection hidden="1"/>
    </xf>
    <xf numFmtId="0" fontId="2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right" vertical="top" wrapText="1"/>
      <protection hidden="1"/>
    </xf>
    <xf numFmtId="0" fontId="7" fillId="0" borderId="0" xfId="0" applyFont="1" applyProtection="1">
      <protection hidden="1"/>
    </xf>
    <xf numFmtId="0" fontId="54" fillId="2" borderId="0" xfId="0" applyFont="1" applyFill="1" applyProtection="1">
      <protection hidden="1"/>
    </xf>
    <xf numFmtId="0" fontId="37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55" fillId="2" borderId="0" xfId="0" applyFont="1" applyFill="1" applyProtection="1">
      <protection hidden="1"/>
    </xf>
    <xf numFmtId="0" fontId="3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4" fillId="0" borderId="4" xfId="0" applyFont="1" applyBorder="1" applyProtection="1">
      <protection hidden="1"/>
    </xf>
    <xf numFmtId="0" fontId="11" fillId="0" borderId="5" xfId="0" applyFont="1" applyBorder="1" applyAlignment="1" applyProtection="1">
      <alignment vertical="center"/>
      <protection hidden="1"/>
    </xf>
    <xf numFmtId="0" fontId="11" fillId="0" borderId="6" xfId="0" applyFont="1" applyBorder="1" applyAlignment="1" applyProtection="1">
      <alignment vertical="center"/>
      <protection hidden="1"/>
    </xf>
    <xf numFmtId="0" fontId="4" fillId="0" borderId="7" xfId="0" applyFont="1" applyBorder="1" applyProtection="1">
      <protection hidden="1"/>
    </xf>
    <xf numFmtId="0" fontId="25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26" fillId="0" borderId="0" xfId="0" applyFont="1" applyAlignment="1" applyProtection="1">
      <alignment horizontal="left" vertical="center" indent="5"/>
      <protection hidden="1"/>
    </xf>
    <xf numFmtId="0" fontId="23" fillId="0" borderId="0" xfId="0" applyFont="1" applyAlignment="1" applyProtection="1">
      <alignment horizontal="left" vertical="center" indent="5"/>
      <protection hidden="1"/>
    </xf>
    <xf numFmtId="0" fontId="3" fillId="0" borderId="0" xfId="0" applyFont="1" applyAlignment="1" applyProtection="1">
      <alignment horizontal="left" vertical="center" indent="5"/>
      <protection hidden="1"/>
    </xf>
    <xf numFmtId="0" fontId="15" fillId="0" borderId="8" xfId="0" applyFont="1" applyBorder="1" applyProtection="1">
      <protection hidden="1"/>
    </xf>
    <xf numFmtId="0" fontId="11" fillId="0" borderId="9" xfId="0" applyFont="1" applyBorder="1" applyProtection="1">
      <protection hidden="1"/>
    </xf>
    <xf numFmtId="0" fontId="11" fillId="0" borderId="10" xfId="0" applyFont="1" applyBorder="1" applyProtection="1">
      <protection hidden="1"/>
    </xf>
    <xf numFmtId="0" fontId="11" fillId="0" borderId="11" xfId="0" applyFont="1" applyBorder="1" applyProtection="1">
      <protection hidden="1"/>
    </xf>
    <xf numFmtId="0" fontId="0" fillId="0" borderId="11" xfId="0" applyBorder="1" applyProtection="1">
      <protection hidden="1"/>
    </xf>
    <xf numFmtId="0" fontId="11" fillId="0" borderId="12" xfId="0" applyFont="1" applyBorder="1" applyProtection="1">
      <protection hidden="1"/>
    </xf>
    <xf numFmtId="0" fontId="11" fillId="3" borderId="13" xfId="0" applyFont="1" applyFill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horizontal="left"/>
      <protection hidden="1"/>
    </xf>
    <xf numFmtId="0" fontId="11" fillId="0" borderId="14" xfId="0" applyFont="1" applyBorder="1" applyProtection="1">
      <protection hidden="1"/>
    </xf>
    <xf numFmtId="0" fontId="15" fillId="0" borderId="13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11" fillId="0" borderId="15" xfId="0" applyFont="1" applyBorder="1" applyProtection="1">
      <protection hidden="1"/>
    </xf>
    <xf numFmtId="0" fontId="11" fillId="0" borderId="16" xfId="0" applyFont="1" applyBorder="1" applyProtection="1">
      <protection hidden="1"/>
    </xf>
    <xf numFmtId="0" fontId="11" fillId="0" borderId="17" xfId="0" applyFont="1" applyBorder="1" applyProtection="1">
      <protection hidden="1"/>
    </xf>
    <xf numFmtId="0" fontId="11" fillId="2" borderId="18" xfId="0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56" fillId="2" borderId="0" xfId="0" applyFont="1" applyFill="1" applyProtection="1">
      <protection hidden="1"/>
    </xf>
    <xf numFmtId="0" fontId="39" fillId="2" borderId="0" xfId="0" applyFont="1" applyFill="1" applyProtection="1">
      <protection hidden="1"/>
    </xf>
    <xf numFmtId="0" fontId="31" fillId="0" borderId="0" xfId="0" applyFont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5" fillId="0" borderId="19" xfId="0" applyFont="1" applyBorder="1" applyProtection="1">
      <protection hidden="1"/>
    </xf>
    <xf numFmtId="0" fontId="11" fillId="0" borderId="20" xfId="0" applyFont="1" applyBorder="1" applyProtection="1">
      <protection hidden="1"/>
    </xf>
    <xf numFmtId="0" fontId="34" fillId="2" borderId="0" xfId="0" applyFont="1" applyFill="1" applyAlignment="1" applyProtection="1">
      <alignment wrapText="1"/>
      <protection hidden="1"/>
    </xf>
    <xf numFmtId="0" fontId="21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11" fillId="0" borderId="21" xfId="0" applyFont="1" applyBorder="1" applyProtection="1">
      <protection hidden="1"/>
    </xf>
    <xf numFmtId="0" fontId="44" fillId="0" borderId="11" xfId="0" applyFont="1" applyBorder="1" applyProtection="1">
      <protection hidden="1"/>
    </xf>
    <xf numFmtId="0" fontId="46" fillId="0" borderId="11" xfId="0" applyFont="1" applyBorder="1" applyProtection="1">
      <protection hidden="1"/>
    </xf>
    <xf numFmtId="0" fontId="39" fillId="0" borderId="11" xfId="0" applyFont="1" applyBorder="1" applyProtection="1">
      <protection hidden="1"/>
    </xf>
    <xf numFmtId="0" fontId="11" fillId="3" borderId="12" xfId="0" applyFont="1" applyFill="1" applyBorder="1" applyAlignment="1" applyProtection="1">
      <alignment horizontal="left"/>
      <protection hidden="1"/>
    </xf>
    <xf numFmtId="0" fontId="15" fillId="2" borderId="12" xfId="0" applyFont="1" applyFill="1" applyBorder="1" applyAlignment="1" applyProtection="1">
      <alignment horizontal="center"/>
      <protection hidden="1"/>
    </xf>
    <xf numFmtId="0" fontId="11" fillId="3" borderId="22" xfId="0" applyFont="1" applyFill="1" applyBorder="1" applyAlignment="1" applyProtection="1">
      <alignment horizontal="left"/>
      <protection hidden="1"/>
    </xf>
    <xf numFmtId="0" fontId="60" fillId="2" borderId="0" xfId="0" applyFont="1" applyFill="1" applyProtection="1">
      <protection hidden="1"/>
    </xf>
    <xf numFmtId="0" fontId="65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11" fillId="2" borderId="13" xfId="0" applyFont="1" applyFill="1" applyBorder="1" applyAlignment="1" applyProtection="1">
      <alignment horizontal="left"/>
      <protection hidden="1"/>
    </xf>
    <xf numFmtId="0" fontId="11" fillId="2" borderId="22" xfId="0" applyFont="1" applyFill="1" applyBorder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11" fillId="2" borderId="13" xfId="0" applyFont="1" applyFill="1" applyBorder="1" applyAlignment="1" applyProtection="1">
      <alignment horizontal="left" vertical="center"/>
      <protection hidden="1"/>
    </xf>
    <xf numFmtId="0" fontId="11" fillId="2" borderId="22" xfId="0" applyFont="1" applyFill="1" applyBorder="1" applyAlignment="1" applyProtection="1">
      <alignment horizontal="left" vertical="center"/>
      <protection hidden="1"/>
    </xf>
    <xf numFmtId="0" fontId="11" fillId="3" borderId="13" xfId="0" applyFont="1" applyFill="1" applyBorder="1" applyAlignment="1" applyProtection="1">
      <alignment horizontal="left"/>
      <protection hidden="1"/>
    </xf>
    <xf numFmtId="0" fontId="11" fillId="0" borderId="16" xfId="0" applyFont="1" applyBorder="1" applyAlignment="1" applyProtection="1">
      <alignment horizontal="center"/>
      <protection hidden="1"/>
    </xf>
    <xf numFmtId="0" fontId="11" fillId="3" borderId="23" xfId="0" applyFont="1" applyFill="1" applyBorder="1" applyAlignment="1" applyProtection="1">
      <alignment horizontal="left"/>
      <protection hidden="1"/>
    </xf>
    <xf numFmtId="0" fontId="15" fillId="0" borderId="24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2" borderId="25" xfId="0" applyFont="1" applyFill="1" applyBorder="1" applyAlignment="1" applyProtection="1">
      <alignment horizontal="left" vertical="center"/>
      <protection hidden="1"/>
    </xf>
    <xf numFmtId="0" fontId="11" fillId="2" borderId="26" xfId="0" applyFont="1" applyFill="1" applyBorder="1" applyAlignment="1" applyProtection="1">
      <alignment horizontal="left" vertical="center"/>
      <protection hidden="1"/>
    </xf>
    <xf numFmtId="0" fontId="15" fillId="0" borderId="27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2" borderId="28" xfId="0" applyFont="1" applyFill="1" applyBorder="1" applyAlignment="1" applyProtection="1">
      <alignment horizontal="left" vertical="center"/>
      <protection hidden="1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66" fillId="0" borderId="0" xfId="0" applyFont="1" applyAlignment="1" applyProtection="1">
      <alignment textRotation="90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4" fillId="0" borderId="20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15" fillId="0" borderId="2" xfId="0" applyFont="1" applyBorder="1" applyProtection="1">
      <protection hidden="1"/>
    </xf>
    <xf numFmtId="0" fontId="4" fillId="0" borderId="30" xfId="0" applyFont="1" applyBorder="1" applyProtection="1"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11" fillId="0" borderId="32" xfId="0" applyFont="1" applyBorder="1" applyAlignment="1" applyProtection="1">
      <alignment horizontal="center"/>
      <protection hidden="1"/>
    </xf>
    <xf numFmtId="0" fontId="11" fillId="0" borderId="32" xfId="0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53" fillId="0" borderId="33" xfId="0" applyFont="1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74" fillId="0" borderId="40" xfId="0" applyFont="1" applyBorder="1" applyAlignment="1" applyProtection="1">
      <alignment horizontal="center"/>
      <protection hidden="1"/>
    </xf>
    <xf numFmtId="0" fontId="74" fillId="0" borderId="41" xfId="0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36" fillId="0" borderId="12" xfId="0" applyFont="1" applyBorder="1" applyProtection="1">
      <protection hidden="1"/>
    </xf>
    <xf numFmtId="0" fontId="36" fillId="0" borderId="13" xfId="0" applyFont="1" applyBorder="1" applyAlignment="1" applyProtection="1">
      <alignment horizontal="center"/>
      <protection hidden="1"/>
    </xf>
    <xf numFmtId="0" fontId="36" fillId="0" borderId="14" xfId="0" applyFont="1" applyBorder="1" applyAlignment="1" applyProtection="1">
      <alignment horizontal="center"/>
      <protection hidden="1"/>
    </xf>
    <xf numFmtId="0" fontId="36" fillId="0" borderId="12" xfId="0" applyFont="1" applyBorder="1" applyAlignment="1" applyProtection="1">
      <alignment horizontal="center"/>
      <protection hidden="1"/>
    </xf>
    <xf numFmtId="0" fontId="49" fillId="0" borderId="13" xfId="0" applyFont="1" applyBorder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9" fillId="0" borderId="42" xfId="2" applyBorder="1" applyAlignment="1" applyProtection="1">
      <alignment horizontal="left" wrapText="1"/>
      <protection hidden="1"/>
    </xf>
    <xf numFmtId="0" fontId="19" fillId="0" borderId="43" xfId="1" applyBorder="1" applyAlignment="1" applyProtection="1">
      <alignment horizontal="left" wrapText="1"/>
      <protection hidden="1"/>
    </xf>
    <xf numFmtId="0" fontId="0" fillId="0" borderId="13" xfId="0" applyBorder="1" applyProtection="1">
      <protection hidden="1"/>
    </xf>
    <xf numFmtId="0" fontId="0" fillId="0" borderId="44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33" xfId="0" applyBorder="1" applyAlignment="1" applyProtection="1">
      <alignment horizontal="center"/>
      <protection hidden="1"/>
    </xf>
    <xf numFmtId="0" fontId="4" fillId="0" borderId="33" xfId="0" applyFont="1" applyBorder="1" applyAlignment="1" applyProtection="1">
      <alignment horizontal="center"/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4" fillId="0" borderId="47" xfId="0" applyFont="1" applyBorder="1" applyAlignment="1" applyProtection="1">
      <alignment horizontal="center"/>
      <protection hidden="1"/>
    </xf>
    <xf numFmtId="0" fontId="14" fillId="0" borderId="47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9" fillId="0" borderId="42" xfId="1" applyBorder="1" applyAlignment="1" applyProtection="1">
      <alignment horizontal="left" wrapText="1"/>
      <protection hidden="1"/>
    </xf>
    <xf numFmtId="0" fontId="35" fillId="0" borderId="13" xfId="0" applyFont="1" applyBorder="1" applyAlignment="1" applyProtection="1">
      <alignment horizontal="center"/>
      <protection hidden="1"/>
    </xf>
    <xf numFmtId="0" fontId="35" fillId="0" borderId="14" xfId="0" applyFont="1" applyBorder="1" applyAlignment="1" applyProtection="1">
      <alignment horizontal="center"/>
      <protection hidden="1"/>
    </xf>
    <xf numFmtId="0" fontId="35" fillId="0" borderId="33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14" fillId="0" borderId="46" xfId="0" applyFont="1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left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4" fillId="0" borderId="12" xfId="0" applyFont="1" applyBorder="1" applyAlignment="1" applyProtection="1">
      <alignment horizontal="center"/>
      <protection hidden="1"/>
    </xf>
    <xf numFmtId="0" fontId="19" fillId="0" borderId="44" xfId="1" applyBorder="1" applyAlignment="1" applyProtection="1">
      <alignment horizontal="left" wrapTex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14" fillId="0" borderId="35" xfId="0" applyFont="1" applyBorder="1" applyAlignment="1" applyProtection="1">
      <alignment horizontal="center"/>
      <protection hidden="1"/>
    </xf>
    <xf numFmtId="0" fontId="19" fillId="0" borderId="45" xfId="1" applyBorder="1" applyAlignment="1" applyProtection="1">
      <alignment horizontal="left" wrapText="1"/>
      <protection hidden="1"/>
    </xf>
    <xf numFmtId="0" fontId="4" fillId="0" borderId="42" xfId="1" applyFont="1" applyBorder="1" applyAlignment="1" applyProtection="1">
      <alignment horizontal="left" wrapText="1"/>
      <protection hidden="1"/>
    </xf>
    <xf numFmtId="0" fontId="4" fillId="0" borderId="48" xfId="1" applyFont="1" applyBorder="1" applyAlignment="1" applyProtection="1">
      <alignment horizontal="left" wrapText="1"/>
      <protection hidden="1"/>
    </xf>
    <xf numFmtId="0" fontId="0" fillId="0" borderId="17" xfId="0" applyBorder="1" applyProtection="1"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35" fillId="0" borderId="23" xfId="0" applyFont="1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center"/>
      <protection hidden="1"/>
    </xf>
    <xf numFmtId="0" fontId="14" fillId="0" borderId="23" xfId="0" applyFont="1" applyBorder="1" applyAlignment="1" applyProtection="1">
      <alignment horizontal="center"/>
      <protection hidden="1"/>
    </xf>
    <xf numFmtId="0" fontId="4" fillId="0" borderId="0" xfId="1" applyFont="1" applyAlignment="1" applyProtection="1">
      <alignment horizontal="left" wrapText="1"/>
      <protection hidden="1"/>
    </xf>
    <xf numFmtId="0" fontId="35" fillId="0" borderId="0" xfId="0" applyFont="1" applyAlignment="1" applyProtection="1">
      <alignment horizont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4" fillId="0" borderId="49" xfId="0" applyFont="1" applyBorder="1" applyAlignment="1" applyProtection="1">
      <alignment vertical="center"/>
      <protection hidden="1"/>
    </xf>
    <xf numFmtId="0" fontId="4" fillId="0" borderId="50" xfId="0" applyFont="1" applyBorder="1" applyProtection="1">
      <protection hidden="1"/>
    </xf>
    <xf numFmtId="0" fontId="4" fillId="0" borderId="51" xfId="0" applyFont="1" applyBorder="1" applyProtection="1">
      <protection hidden="1"/>
    </xf>
    <xf numFmtId="0" fontId="0" fillId="0" borderId="45" xfId="0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14" fillId="0" borderId="20" xfId="0" applyFont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53" fillId="0" borderId="42" xfId="0" applyFon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14" fillId="0" borderId="37" xfId="0" applyFont="1" applyBorder="1" applyAlignment="1" applyProtection="1">
      <alignment horizontal="left"/>
      <protection hidden="1"/>
    </xf>
    <xf numFmtId="0" fontId="52" fillId="0" borderId="42" xfId="0" applyFont="1" applyBorder="1" applyProtection="1">
      <protection hidden="1"/>
    </xf>
    <xf numFmtId="0" fontId="4" fillId="0" borderId="37" xfId="0" applyFon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37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53" xfId="0" applyBorder="1" applyAlignment="1" applyProtection="1">
      <alignment horizontal="center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35" fillId="0" borderId="42" xfId="0" applyFont="1" applyBorder="1" applyProtection="1">
      <protection hidden="1"/>
    </xf>
    <xf numFmtId="0" fontId="35" fillId="0" borderId="11" xfId="0" applyFon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42" xfId="0" applyBorder="1" applyAlignment="1" applyProtection="1">
      <alignment wrapText="1"/>
      <protection hidden="1"/>
    </xf>
    <xf numFmtId="0" fontId="0" fillId="0" borderId="48" xfId="0" applyBorder="1" applyAlignment="1" applyProtection="1">
      <alignment wrapText="1"/>
      <protection hidden="1"/>
    </xf>
    <xf numFmtId="0" fontId="0" fillId="0" borderId="54" xfId="0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13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14" fillId="0" borderId="7" xfId="0" applyFont="1" applyBorder="1" applyProtection="1">
      <protection hidden="1"/>
    </xf>
    <xf numFmtId="0" fontId="28" fillId="0" borderId="9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2" fillId="0" borderId="9" xfId="0" applyFont="1" applyBorder="1" applyAlignment="1" applyProtection="1">
      <alignment horizontal="left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0" fontId="2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" fillId="0" borderId="55" xfId="0" applyFont="1" applyBorder="1" applyAlignment="1" applyProtection="1">
      <alignment horizontal="left" wrapText="1"/>
      <protection hidden="1"/>
    </xf>
    <xf numFmtId="0" fontId="32" fillId="0" borderId="8" xfId="0" applyFont="1" applyBorder="1" applyProtection="1">
      <protection hidden="1"/>
    </xf>
    <xf numFmtId="0" fontId="13" fillId="0" borderId="9" xfId="0" applyFont="1" applyBorder="1" applyProtection="1">
      <protection hidden="1"/>
    </xf>
    <xf numFmtId="0" fontId="15" fillId="0" borderId="56" xfId="0" applyFont="1" applyBorder="1" applyAlignment="1" applyProtection="1">
      <alignment horizontal="center" wrapText="1"/>
      <protection hidden="1"/>
    </xf>
    <xf numFmtId="0" fontId="15" fillId="0" borderId="10" xfId="0" applyFont="1" applyBorder="1" applyProtection="1">
      <protection hidden="1"/>
    </xf>
    <xf numFmtId="0" fontId="11" fillId="0" borderId="13" xfId="0" applyFont="1" applyBorder="1" applyAlignment="1" applyProtection="1">
      <alignment horizontal="center" textRotation="90" wrapText="1"/>
      <protection hidden="1"/>
    </xf>
    <xf numFmtId="0" fontId="46" fillId="0" borderId="13" xfId="0" applyFont="1" applyBorder="1" applyAlignment="1" applyProtection="1">
      <alignment horizontal="center" textRotation="90" wrapText="1"/>
      <protection hidden="1"/>
    </xf>
    <xf numFmtId="0" fontId="11" fillId="2" borderId="57" xfId="0" applyFont="1" applyFill="1" applyBorder="1" applyAlignment="1" applyProtection="1">
      <alignment horizontal="center" textRotation="90"/>
      <protection hidden="1"/>
    </xf>
    <xf numFmtId="0" fontId="11" fillId="0" borderId="57" xfId="0" applyFont="1" applyBorder="1" applyAlignment="1" applyProtection="1">
      <alignment horizontal="center"/>
      <protection hidden="1"/>
    </xf>
    <xf numFmtId="0" fontId="15" fillId="0" borderId="5" xfId="0" applyFont="1" applyBorder="1" applyProtection="1">
      <protection hidden="1"/>
    </xf>
    <xf numFmtId="0" fontId="11" fillId="0" borderId="36" xfId="0" applyFont="1" applyBorder="1" applyProtection="1">
      <protection hidden="1"/>
    </xf>
    <xf numFmtId="0" fontId="0" fillId="0" borderId="36" xfId="0" applyBorder="1" applyProtection="1">
      <protection hidden="1"/>
    </xf>
    <xf numFmtId="0" fontId="11" fillId="0" borderId="37" xfId="0" applyFont="1" applyBorder="1" applyAlignment="1" applyProtection="1">
      <alignment horizontal="center" textRotation="90"/>
      <protection hidden="1"/>
    </xf>
    <xf numFmtId="0" fontId="0" fillId="0" borderId="58" xfId="0" applyBorder="1" applyProtection="1">
      <protection hidden="1"/>
    </xf>
    <xf numFmtId="0" fontId="11" fillId="0" borderId="57" xfId="0" applyFont="1" applyBorder="1" applyProtection="1">
      <protection hidden="1"/>
    </xf>
    <xf numFmtId="0" fontId="46" fillId="0" borderId="10" xfId="0" applyFont="1" applyBorder="1" applyProtection="1">
      <protection hidden="1"/>
    </xf>
    <xf numFmtId="0" fontId="11" fillId="0" borderId="13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11" fillId="2" borderId="57" xfId="0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46" fillId="2" borderId="57" xfId="0" applyFont="1" applyFill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horizontal="right"/>
      <protection hidden="1"/>
    </xf>
    <xf numFmtId="0" fontId="11" fillId="0" borderId="13" xfId="0" applyFont="1" applyBorder="1" applyAlignment="1" applyProtection="1">
      <alignment horizontal="right"/>
      <protection hidden="1"/>
    </xf>
    <xf numFmtId="0" fontId="11" fillId="0" borderId="5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1" fillId="0" borderId="21" xfId="0" applyFont="1" applyBorder="1" applyAlignment="1" applyProtection="1">
      <alignment horizontal="right"/>
      <protection hidden="1"/>
    </xf>
    <xf numFmtId="0" fontId="11" fillId="0" borderId="33" xfId="0" applyFont="1" applyBorder="1" applyAlignment="1" applyProtection="1">
      <alignment horizontal="right"/>
      <protection hidden="1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right"/>
      <protection hidden="1"/>
    </xf>
    <xf numFmtId="0" fontId="11" fillId="0" borderId="39" xfId="0" applyFont="1" applyBorder="1" applyAlignment="1" applyProtection="1">
      <alignment horizontal="right"/>
      <protection hidden="1"/>
    </xf>
    <xf numFmtId="0" fontId="11" fillId="0" borderId="27" xfId="0" applyFont="1" applyBorder="1" applyProtection="1">
      <protection hidden="1"/>
    </xf>
    <xf numFmtId="0" fontId="11" fillId="0" borderId="23" xfId="0" applyFont="1" applyBorder="1" applyProtection="1">
      <protection hidden="1"/>
    </xf>
    <xf numFmtId="0" fontId="11" fillId="2" borderId="59" xfId="0" applyFont="1" applyFill="1" applyBorder="1" applyAlignment="1" applyProtection="1">
      <alignment horizontal="center"/>
      <protection hidden="1"/>
    </xf>
    <xf numFmtId="0" fontId="11" fillId="0" borderId="59" xfId="0" applyFont="1" applyBorder="1" applyAlignment="1" applyProtection="1">
      <alignment horizontal="center"/>
      <protection hidden="1"/>
    </xf>
    <xf numFmtId="0" fontId="31" fillId="0" borderId="7" xfId="0" applyFont="1" applyBorder="1" applyProtection="1">
      <protection hidden="1"/>
    </xf>
    <xf numFmtId="0" fontId="26" fillId="0" borderId="49" xfId="0" applyFont="1" applyBorder="1" applyProtection="1">
      <protection hidden="1"/>
    </xf>
    <xf numFmtId="0" fontId="0" fillId="0" borderId="50" xfId="0" applyBorder="1" applyProtection="1">
      <protection hidden="1"/>
    </xf>
    <xf numFmtId="0" fontId="17" fillId="0" borderId="7" xfId="0" applyFont="1" applyBorder="1" applyProtection="1">
      <protection hidden="1"/>
    </xf>
    <xf numFmtId="0" fontId="30" fillId="0" borderId="0" xfId="0" applyFont="1" applyProtection="1">
      <protection hidden="1"/>
    </xf>
    <xf numFmtId="0" fontId="25" fillId="0" borderId="49" xfId="0" applyFont="1" applyBorder="1" applyProtection="1">
      <protection hidden="1"/>
    </xf>
    <xf numFmtId="0" fontId="13" fillId="0" borderId="50" xfId="0" applyFont="1" applyBorder="1" applyProtection="1">
      <protection hidden="1"/>
    </xf>
    <xf numFmtId="0" fontId="4" fillId="0" borderId="50" xfId="0" applyFont="1" applyBorder="1" applyAlignment="1" applyProtection="1">
      <alignment horizontal="center"/>
      <protection hidden="1"/>
    </xf>
    <xf numFmtId="0" fontId="11" fillId="0" borderId="24" xfId="0" applyFont="1" applyBorder="1" applyProtection="1"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60" xfId="0" applyFont="1" applyFill="1" applyBorder="1" applyAlignment="1" applyProtection="1">
      <alignment horizontal="center" vertical="center"/>
      <protection hidden="1"/>
    </xf>
    <xf numFmtId="0" fontId="11" fillId="4" borderId="2" xfId="0" applyFont="1" applyFill="1" applyBorder="1" applyProtection="1">
      <protection hidden="1"/>
    </xf>
    <xf numFmtId="0" fontId="4" fillId="4" borderId="2" xfId="0" applyFont="1" applyFill="1" applyBorder="1" applyProtection="1">
      <protection hidden="1"/>
    </xf>
    <xf numFmtId="0" fontId="11" fillId="4" borderId="0" xfId="0" applyFont="1" applyFill="1" applyProtection="1">
      <protection hidden="1"/>
    </xf>
    <xf numFmtId="0" fontId="11" fillId="0" borderId="2" xfId="0" applyFont="1" applyBorder="1" applyAlignment="1" applyProtection="1">
      <alignment horizontal="right" indent="1"/>
      <protection hidden="1"/>
    </xf>
    <xf numFmtId="0" fontId="11" fillId="0" borderId="61" xfId="0" applyFont="1" applyBorder="1" applyAlignment="1" applyProtection="1">
      <alignment horizontal="right" indent="1"/>
      <protection hidden="1"/>
    </xf>
    <xf numFmtId="0" fontId="57" fillId="0" borderId="11" xfId="0" applyFont="1" applyBorder="1" applyProtection="1">
      <protection hidden="1"/>
    </xf>
    <xf numFmtId="0" fontId="51" fillId="0" borderId="11" xfId="0" applyFont="1" applyBorder="1" applyAlignment="1" applyProtection="1">
      <alignment horizontal="center" vertical="center"/>
      <protection hidden="1"/>
    </xf>
    <xf numFmtId="0" fontId="57" fillId="0" borderId="2" xfId="0" applyFont="1" applyBorder="1" applyProtection="1">
      <protection hidden="1"/>
    </xf>
    <xf numFmtId="0" fontId="11" fillId="0" borderId="62" xfId="0" applyFont="1" applyBorder="1" applyAlignment="1" applyProtection="1">
      <alignment horizontal="right"/>
      <protection hidden="1"/>
    </xf>
    <xf numFmtId="0" fontId="11" fillId="0" borderId="61" xfId="0" applyFont="1" applyBorder="1" applyAlignment="1" applyProtection="1">
      <alignment horizontal="right"/>
      <protection hidden="1"/>
    </xf>
    <xf numFmtId="0" fontId="43" fillId="0" borderId="2" xfId="0" applyFont="1" applyBorder="1" applyProtection="1">
      <protection hidden="1"/>
    </xf>
    <xf numFmtId="0" fontId="43" fillId="0" borderId="61" xfId="0" applyFont="1" applyBorder="1" applyAlignment="1" applyProtection="1">
      <alignment horizontal="right"/>
      <protection hidden="1"/>
    </xf>
    <xf numFmtId="0" fontId="4" fillId="0" borderId="62" xfId="0" applyFont="1" applyBorder="1" applyProtection="1">
      <protection hidden="1"/>
    </xf>
    <xf numFmtId="0" fontId="26" fillId="0" borderId="27" xfId="0" applyFont="1" applyBorder="1" applyProtection="1"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0" fillId="0" borderId="63" xfId="0" applyBorder="1" applyAlignment="1" applyProtection="1">
      <alignment horizontal="center"/>
      <protection hidden="1"/>
    </xf>
    <xf numFmtId="0" fontId="0" fillId="0" borderId="60" xfId="0" applyBorder="1" applyAlignment="1" applyProtection="1">
      <alignment horizontal="center"/>
      <protection hidden="1"/>
    </xf>
    <xf numFmtId="0" fontId="27" fillId="0" borderId="7" xfId="0" applyFont="1" applyBorder="1" applyProtection="1">
      <protection hidden="1"/>
    </xf>
    <xf numFmtId="0" fontId="50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horizontal="center"/>
      <protection hidden="1"/>
    </xf>
    <xf numFmtId="0" fontId="43" fillId="3" borderId="0" xfId="0" applyFont="1" applyFill="1" applyProtection="1">
      <protection hidden="1"/>
    </xf>
    <xf numFmtId="0" fontId="43" fillId="3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3" borderId="0" xfId="0" applyFont="1" applyFill="1" applyProtection="1">
      <protection hidden="1"/>
    </xf>
    <xf numFmtId="0" fontId="27" fillId="3" borderId="0" xfId="0" applyFont="1" applyFill="1" applyAlignment="1" applyProtection="1">
      <alignment horizontal="center"/>
      <protection hidden="1"/>
    </xf>
    <xf numFmtId="0" fontId="62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4" fillId="0" borderId="19" xfId="0" applyFont="1" applyBorder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27" fillId="0" borderId="4" xfId="0" applyFont="1" applyBorder="1" applyAlignment="1" applyProtection="1">
      <alignment horizontal="center"/>
      <protection hidden="1"/>
    </xf>
    <xf numFmtId="0" fontId="27" fillId="0" borderId="11" xfId="0" applyFont="1" applyBorder="1" applyProtection="1">
      <protection hidden="1"/>
    </xf>
    <xf numFmtId="0" fontId="27" fillId="0" borderId="24" xfId="0" applyFont="1" applyBorder="1" applyProtection="1">
      <protection hidden="1"/>
    </xf>
    <xf numFmtId="0" fontId="27" fillId="0" borderId="2" xfId="0" applyFont="1" applyBorder="1" applyAlignment="1" applyProtection="1">
      <alignment horizontal="center"/>
      <protection hidden="1"/>
    </xf>
    <xf numFmtId="0" fontId="15" fillId="0" borderId="50" xfId="0" applyFont="1" applyBorder="1" applyProtection="1">
      <protection hidden="1"/>
    </xf>
    <xf numFmtId="0" fontId="15" fillId="0" borderId="50" xfId="0" applyFont="1" applyBorder="1" applyAlignment="1" applyProtection="1">
      <alignment horizontal="center"/>
      <protection hidden="1"/>
    </xf>
    <xf numFmtId="0" fontId="15" fillId="3" borderId="50" xfId="0" applyFont="1" applyFill="1" applyBorder="1" applyProtection="1">
      <protection hidden="1"/>
    </xf>
    <xf numFmtId="0" fontId="3" fillId="0" borderId="50" xfId="0" applyFont="1" applyBorder="1" applyAlignment="1" applyProtection="1">
      <alignment vertical="center" wrapText="1"/>
      <protection hidden="1"/>
    </xf>
    <xf numFmtId="0" fontId="5" fillId="0" borderId="50" xfId="0" applyFont="1" applyBorder="1" applyAlignment="1" applyProtection="1">
      <alignment vertical="center" wrapText="1"/>
      <protection hidden="1"/>
    </xf>
    <xf numFmtId="0" fontId="5" fillId="0" borderId="50" xfId="0" applyFont="1" applyBorder="1" applyAlignment="1" applyProtection="1">
      <alignment textRotation="90" wrapText="1"/>
      <protection hidden="1"/>
    </xf>
    <xf numFmtId="0" fontId="4" fillId="0" borderId="64" xfId="0" applyFont="1" applyBorder="1" applyAlignment="1" applyProtection="1">
      <alignment horizontal="center"/>
      <protection hidden="1"/>
    </xf>
    <xf numFmtId="0" fontId="5" fillId="0" borderId="65" xfId="0" applyFont="1" applyBorder="1" applyAlignment="1" applyProtection="1">
      <alignment horizontal="center" textRotation="90" wrapText="1"/>
      <protection hidden="1"/>
    </xf>
    <xf numFmtId="0" fontId="15" fillId="0" borderId="66" xfId="0" applyFont="1" applyBorder="1" applyAlignment="1" applyProtection="1">
      <alignment horizontal="center" wrapText="1"/>
      <protection hidden="1"/>
    </xf>
    <xf numFmtId="0" fontId="14" fillId="0" borderId="67" xfId="0" applyFont="1" applyBorder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16" fillId="2" borderId="9" xfId="0" applyFont="1" applyFill="1" applyBorder="1" applyProtection="1">
      <protection hidden="1"/>
    </xf>
    <xf numFmtId="0" fontId="4" fillId="0" borderId="68" xfId="0" applyFont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11" fillId="3" borderId="69" xfId="0" applyFont="1" applyFill="1" applyBorder="1" applyAlignment="1" applyProtection="1">
      <alignment horizontal="center"/>
      <protection hidden="1"/>
    </xf>
    <xf numFmtId="0" fontId="11" fillId="3" borderId="70" xfId="0" applyFont="1" applyFill="1" applyBorder="1" applyAlignment="1" applyProtection="1">
      <alignment horizontal="center"/>
      <protection hidden="1"/>
    </xf>
    <xf numFmtId="0" fontId="11" fillId="3" borderId="57" xfId="0" applyFont="1" applyFill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vertical="center"/>
      <protection hidden="1"/>
    </xf>
    <xf numFmtId="0" fontId="16" fillId="2" borderId="11" xfId="0" applyFont="1" applyFill="1" applyBorder="1" applyProtection="1"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0" fillId="0" borderId="37" xfId="0" applyBorder="1" applyProtection="1"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26" fillId="0" borderId="49" xfId="0" applyFont="1" applyBorder="1" applyAlignment="1" applyProtection="1">
      <alignment vertical="top"/>
      <protection hidden="1"/>
    </xf>
    <xf numFmtId="0" fontId="26" fillId="0" borderId="50" xfId="0" applyFont="1" applyBorder="1" applyAlignment="1" applyProtection="1">
      <alignment vertical="top"/>
      <protection hidden="1"/>
    </xf>
    <xf numFmtId="0" fontId="15" fillId="0" borderId="50" xfId="0" applyFont="1" applyBorder="1" applyAlignment="1" applyProtection="1">
      <alignment vertical="center"/>
      <protection hidden="1"/>
    </xf>
    <xf numFmtId="0" fontId="15" fillId="2" borderId="50" xfId="0" applyFont="1" applyFill="1" applyBorder="1" applyProtection="1">
      <protection hidden="1"/>
    </xf>
    <xf numFmtId="0" fontId="15" fillId="3" borderId="67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6" fillId="0" borderId="50" xfId="0" applyFont="1" applyBorder="1" applyAlignment="1" applyProtection="1">
      <alignment vertical="center"/>
      <protection hidden="1"/>
    </xf>
    <xf numFmtId="0" fontId="5" fillId="0" borderId="50" xfId="0" applyFont="1" applyBorder="1" applyAlignment="1" applyProtection="1">
      <alignment vertical="center"/>
      <protection hidden="1"/>
    </xf>
    <xf numFmtId="0" fontId="4" fillId="0" borderId="73" xfId="0" applyFont="1" applyBorder="1" applyAlignment="1" applyProtection="1">
      <alignment horizontal="center" textRotation="90" wrapText="1"/>
      <protection hidden="1"/>
    </xf>
    <xf numFmtId="0" fontId="15" fillId="0" borderId="50" xfId="0" applyFont="1" applyBorder="1" applyAlignment="1" applyProtection="1">
      <alignment horizontal="center" wrapText="1"/>
      <protection hidden="1"/>
    </xf>
    <xf numFmtId="0" fontId="0" fillId="3" borderId="74" xfId="0" applyFill="1" applyBorder="1" applyAlignment="1" applyProtection="1">
      <alignment horizontal="center"/>
      <protection hidden="1"/>
    </xf>
    <xf numFmtId="0" fontId="0" fillId="3" borderId="75" xfId="0" applyFill="1" applyBorder="1" applyAlignment="1" applyProtection="1">
      <alignment horizontal="center"/>
      <protection hidden="1"/>
    </xf>
    <xf numFmtId="0" fontId="11" fillId="0" borderId="21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16" fillId="2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0" fontId="4" fillId="3" borderId="75" xfId="0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vertical="top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5" fillId="0" borderId="76" xfId="0" applyFont="1" applyBorder="1" applyAlignment="1" applyProtection="1">
      <alignment horizontal="center" textRotation="90" wrapText="1"/>
      <protection hidden="1"/>
    </xf>
    <xf numFmtId="0" fontId="4" fillId="0" borderId="77" xfId="0" applyFont="1" applyBorder="1" applyAlignment="1" applyProtection="1">
      <alignment horizontal="center"/>
      <protection hidden="1"/>
    </xf>
    <xf numFmtId="0" fontId="15" fillId="0" borderId="52" xfId="0" applyFont="1" applyBorder="1" applyProtection="1">
      <protection hidden="1"/>
    </xf>
    <xf numFmtId="0" fontId="11" fillId="3" borderId="70" xfId="0" applyFont="1" applyFill="1" applyBorder="1" applyProtection="1">
      <protection hidden="1"/>
    </xf>
    <xf numFmtId="0" fontId="11" fillId="3" borderId="57" xfId="0" applyFont="1" applyFill="1" applyBorder="1" applyProtection="1">
      <protection hidden="1"/>
    </xf>
    <xf numFmtId="0" fontId="0" fillId="3" borderId="78" xfId="0" applyFill="1" applyBorder="1" applyAlignment="1" applyProtection="1">
      <alignment horizontal="center"/>
      <protection hidden="1"/>
    </xf>
    <xf numFmtId="0" fontId="17" fillId="0" borderId="7" xfId="0" applyFont="1" applyBorder="1" applyAlignment="1" applyProtection="1">
      <alignment horizontal="left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66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6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8" fillId="0" borderId="0" xfId="0" applyFont="1" applyProtection="1">
      <protection hidden="1"/>
    </xf>
    <xf numFmtId="0" fontId="14" fillId="0" borderId="0" xfId="0" applyFont="1" applyAlignment="1" applyProtection="1">
      <alignment horizontal="centerContinuous"/>
      <protection hidden="1"/>
    </xf>
    <xf numFmtId="0" fontId="69" fillId="0" borderId="0" xfId="0" applyFont="1" applyAlignment="1" applyProtection="1">
      <alignment horizontal="right" textRotation="88"/>
      <protection hidden="1"/>
    </xf>
    <xf numFmtId="0" fontId="0" fillId="3" borderId="24" xfId="0" applyFill="1" applyBorder="1" applyAlignment="1" applyProtection="1">
      <alignment horizontal="center"/>
      <protection hidden="1"/>
    </xf>
    <xf numFmtId="0" fontId="70" fillId="0" borderId="0" xfId="0" applyFont="1" applyAlignment="1" applyProtection="1">
      <alignment horizontal="center"/>
      <protection hidden="1"/>
    </xf>
    <xf numFmtId="0" fontId="70" fillId="0" borderId="0" xfId="0" applyFont="1" applyProtection="1">
      <protection hidden="1"/>
    </xf>
    <xf numFmtId="0" fontId="11" fillId="3" borderId="79" xfId="0" applyFont="1" applyFill="1" applyBorder="1" applyAlignment="1" applyProtection="1">
      <alignment horizontal="center"/>
      <protection hidden="1"/>
    </xf>
    <xf numFmtId="0" fontId="11" fillId="0" borderId="41" xfId="0" applyFont="1" applyBorder="1" applyProtection="1"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Protection="1">
      <protection hidden="1"/>
    </xf>
    <xf numFmtId="0" fontId="16" fillId="0" borderId="41" xfId="0" applyFont="1" applyBorder="1" applyProtection="1"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6" fillId="0" borderId="80" xfId="0" applyFont="1" applyBorder="1" applyAlignment="1" applyProtection="1">
      <alignment horizontal="center"/>
      <protection hidden="1"/>
    </xf>
    <xf numFmtId="0" fontId="16" fillId="0" borderId="81" xfId="0" applyFont="1" applyBorder="1" applyAlignment="1" applyProtection="1">
      <alignment horizontal="center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6" fillId="0" borderId="7" xfId="0" applyFont="1" applyBorder="1" applyProtection="1">
      <protection hidden="1"/>
    </xf>
    <xf numFmtId="0" fontId="16" fillId="0" borderId="82" xfId="0" applyFont="1" applyBorder="1" applyProtection="1">
      <protection hidden="1"/>
    </xf>
    <xf numFmtId="0" fontId="4" fillId="2" borderId="50" xfId="0" applyFont="1" applyFill="1" applyBorder="1" applyAlignment="1" applyProtection="1">
      <alignment horizontal="center"/>
      <protection hidden="1"/>
    </xf>
    <xf numFmtId="0" fontId="15" fillId="3" borderId="56" xfId="0" applyFont="1" applyFill="1" applyBorder="1" applyAlignment="1" applyProtection="1">
      <alignment horizontal="center"/>
      <protection hidden="1"/>
    </xf>
    <xf numFmtId="0" fontId="15" fillId="3" borderId="50" xfId="0" applyFont="1" applyFill="1" applyBorder="1" applyAlignment="1" applyProtection="1">
      <alignment horizontal="center"/>
      <protection hidden="1"/>
    </xf>
    <xf numFmtId="0" fontId="71" fillId="0" borderId="0" xfId="0" applyFont="1" applyProtection="1"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15" fillId="2" borderId="50" xfId="0" applyFont="1" applyFill="1" applyBorder="1" applyAlignment="1" applyProtection="1">
      <alignment horizontal="center"/>
      <protection hidden="1"/>
    </xf>
    <xf numFmtId="0" fontId="66" fillId="0" borderId="0" xfId="0" applyFont="1" applyAlignment="1" applyProtection="1">
      <alignment horizontal="center"/>
      <protection hidden="1"/>
    </xf>
    <xf numFmtId="0" fontId="11" fillId="0" borderId="35" xfId="0" applyFont="1" applyBorder="1" applyProtection="1">
      <protection hidden="1"/>
    </xf>
    <xf numFmtId="0" fontId="4" fillId="0" borderId="83" xfId="0" applyFont="1" applyBorder="1" applyAlignment="1" applyProtection="1">
      <alignment horizontal="center"/>
      <protection hidden="1"/>
    </xf>
    <xf numFmtId="0" fontId="15" fillId="2" borderId="7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1" fillId="4" borderId="46" xfId="0" applyFont="1" applyFill="1" applyBorder="1" applyProtection="1">
      <protection locked="0" hidden="1"/>
    </xf>
    <xf numFmtId="0" fontId="16" fillId="4" borderId="80" xfId="0" applyFont="1" applyFill="1" applyBorder="1" applyAlignment="1" applyProtection="1">
      <alignment horizontal="center"/>
      <protection locked="0" hidden="1"/>
    </xf>
    <xf numFmtId="0" fontId="16" fillId="4" borderId="39" xfId="0" applyFont="1" applyFill="1" applyBorder="1" applyAlignment="1" applyProtection="1">
      <alignment horizontal="center"/>
      <protection locked="0" hidden="1"/>
    </xf>
    <xf numFmtId="0" fontId="16" fillId="4" borderId="41" xfId="0" applyFont="1" applyFill="1" applyBorder="1" applyAlignment="1" applyProtection="1">
      <alignment horizontal="center"/>
      <protection locked="0" hidden="1"/>
    </xf>
    <xf numFmtId="0" fontId="16" fillId="4" borderId="13" xfId="0" applyFont="1" applyFill="1" applyBorder="1" applyAlignment="1" applyProtection="1">
      <alignment horizontal="center"/>
      <protection locked="0" hidden="1"/>
    </xf>
    <xf numFmtId="0" fontId="16" fillId="4" borderId="36" xfId="0" applyFont="1" applyFill="1" applyBorder="1" applyAlignment="1" applyProtection="1">
      <alignment horizontal="center"/>
      <protection locked="0" hidden="1"/>
    </xf>
    <xf numFmtId="0" fontId="16" fillId="4" borderId="84" xfId="0" applyFont="1" applyFill="1" applyBorder="1" applyAlignment="1" applyProtection="1">
      <alignment horizontal="center"/>
      <protection locked="0" hidden="1"/>
    </xf>
    <xf numFmtId="0" fontId="16" fillId="4" borderId="38" xfId="0" applyFont="1" applyFill="1" applyBorder="1" applyAlignment="1" applyProtection="1">
      <alignment horizontal="center"/>
      <protection locked="0" hidden="1"/>
    </xf>
    <xf numFmtId="0" fontId="11" fillId="4" borderId="13" xfId="0" applyFont="1" applyFill="1" applyBorder="1" applyAlignment="1" applyProtection="1">
      <alignment horizontal="center"/>
      <protection locked="0" hidden="1"/>
    </xf>
    <xf numFmtId="0" fontId="16" fillId="4" borderId="85" xfId="0" applyFont="1" applyFill="1" applyBorder="1" applyAlignment="1" applyProtection="1">
      <alignment horizontal="center"/>
      <protection locked="0" hidden="1"/>
    </xf>
    <xf numFmtId="0" fontId="16" fillId="4" borderId="23" xfId="0" applyFont="1" applyFill="1" applyBorder="1" applyAlignment="1" applyProtection="1">
      <alignment horizontal="center"/>
      <protection locked="0" hidden="1"/>
    </xf>
    <xf numFmtId="0" fontId="11" fillId="4" borderId="2" xfId="0" applyFont="1" applyFill="1" applyBorder="1" applyProtection="1">
      <protection locked="0" hidden="1"/>
    </xf>
    <xf numFmtId="0" fontId="11" fillId="4" borderId="2" xfId="0" applyFont="1" applyFill="1" applyBorder="1" applyAlignment="1" applyProtection="1">
      <alignment horizontal="center"/>
      <protection locked="0" hidden="1"/>
    </xf>
    <xf numFmtId="0" fontId="11" fillId="4" borderId="0" xfId="0" applyFont="1" applyFill="1" applyAlignment="1" applyProtection="1">
      <alignment horizontal="center"/>
      <protection locked="0" hidden="1"/>
    </xf>
    <xf numFmtId="0" fontId="11" fillId="4" borderId="79" xfId="0" applyFont="1" applyFill="1" applyBorder="1" applyAlignment="1" applyProtection="1">
      <alignment horizontal="center"/>
      <protection locked="0" hidden="1"/>
    </xf>
    <xf numFmtId="0" fontId="18" fillId="4" borderId="25" xfId="0" applyFont="1" applyFill="1" applyBorder="1" applyAlignment="1" applyProtection="1">
      <alignment horizontal="center"/>
      <protection locked="0" hidden="1"/>
    </xf>
    <xf numFmtId="0" fontId="4" fillId="4" borderId="9" xfId="0" applyFont="1" applyFill="1" applyBorder="1" applyAlignment="1" applyProtection="1">
      <alignment horizontal="center"/>
      <protection locked="0" hidden="1"/>
    </xf>
    <xf numFmtId="0" fontId="4" fillId="4" borderId="11" xfId="0" applyFont="1" applyFill="1" applyBorder="1" applyAlignment="1" applyProtection="1">
      <alignment horizontal="center"/>
      <protection locked="0" hidden="1"/>
    </xf>
    <xf numFmtId="0" fontId="46" fillId="4" borderId="13" xfId="0" applyFont="1" applyFill="1" applyBorder="1" applyAlignment="1" applyProtection="1">
      <alignment horizontal="center"/>
      <protection locked="0" hidden="1"/>
    </xf>
    <xf numFmtId="0" fontId="11" fillId="4" borderId="22" xfId="0" applyFont="1" applyFill="1" applyBorder="1" applyAlignment="1" applyProtection="1">
      <alignment horizontal="center"/>
      <protection locked="0" hidden="1"/>
    </xf>
    <xf numFmtId="0" fontId="15" fillId="4" borderId="67" xfId="0" applyFont="1" applyFill="1" applyBorder="1" applyAlignment="1" applyProtection="1">
      <alignment horizontal="center"/>
      <protection locked="0" hidden="1"/>
    </xf>
    <xf numFmtId="2" fontId="11" fillId="3" borderId="86" xfId="0" applyNumberFormat="1" applyFont="1" applyFill="1" applyBorder="1" applyAlignment="1" applyProtection="1">
      <alignment horizontal="center"/>
      <protection hidden="1"/>
    </xf>
    <xf numFmtId="2" fontId="11" fillId="3" borderId="79" xfId="0" applyNumberFormat="1" applyFont="1" applyFill="1" applyBorder="1" applyAlignment="1" applyProtection="1">
      <alignment horizontal="center"/>
      <protection hidden="1"/>
    </xf>
    <xf numFmtId="2" fontId="15" fillId="3" borderId="66" xfId="0" applyNumberFormat="1" applyFont="1" applyFill="1" applyBorder="1" applyAlignment="1" applyProtection="1">
      <alignment horizontal="center" vertical="center"/>
      <protection hidden="1"/>
    </xf>
    <xf numFmtId="1" fontId="11" fillId="3" borderId="70" xfId="0" applyNumberFormat="1" applyFont="1" applyFill="1" applyBorder="1" applyAlignment="1" applyProtection="1">
      <alignment horizontal="center"/>
      <protection hidden="1"/>
    </xf>
    <xf numFmtId="1" fontId="11" fillId="3" borderId="58" xfId="0" applyNumberFormat="1" applyFont="1" applyFill="1" applyBorder="1" applyAlignment="1" applyProtection="1">
      <alignment horizontal="center"/>
      <protection hidden="1"/>
    </xf>
    <xf numFmtId="1" fontId="11" fillId="3" borderId="57" xfId="0" applyNumberFormat="1" applyFont="1" applyFill="1" applyBorder="1" applyAlignment="1" applyProtection="1">
      <alignment horizontal="center"/>
      <protection hidden="1"/>
    </xf>
    <xf numFmtId="1" fontId="11" fillId="0" borderId="57" xfId="0" applyNumberFormat="1" applyFont="1" applyBorder="1" applyAlignment="1" applyProtection="1">
      <alignment horizontal="center"/>
      <protection hidden="1"/>
    </xf>
    <xf numFmtId="1" fontId="15" fillId="3" borderId="67" xfId="0" applyNumberFormat="1" applyFont="1" applyFill="1" applyBorder="1" applyAlignment="1" applyProtection="1">
      <alignment horizontal="center" vertical="center"/>
      <protection hidden="1"/>
    </xf>
    <xf numFmtId="2" fontId="11" fillId="3" borderId="2" xfId="0" applyNumberFormat="1" applyFont="1" applyFill="1" applyBorder="1" applyAlignment="1" applyProtection="1">
      <alignment horizontal="center"/>
      <protection hidden="1"/>
    </xf>
    <xf numFmtId="2" fontId="11" fillId="3" borderId="0" xfId="0" applyNumberFormat="1" applyFont="1" applyFill="1" applyAlignment="1" applyProtection="1">
      <alignment horizontal="center"/>
      <protection hidden="1"/>
    </xf>
    <xf numFmtId="2" fontId="15" fillId="3" borderId="50" xfId="0" applyNumberFormat="1" applyFont="1" applyFill="1" applyBorder="1" applyAlignment="1" applyProtection="1">
      <alignment horizontal="center" vertical="center"/>
      <protection hidden="1"/>
    </xf>
    <xf numFmtId="0" fontId="4" fillId="3" borderId="74" xfId="0" applyFont="1" applyFill="1" applyBorder="1" applyAlignment="1" applyProtection="1">
      <alignment horizontal="center"/>
      <protection hidden="1"/>
    </xf>
    <xf numFmtId="2" fontId="11" fillId="3" borderId="69" xfId="0" applyNumberFormat="1" applyFont="1" applyFill="1" applyBorder="1" applyAlignment="1" applyProtection="1">
      <alignment horizontal="center"/>
      <protection hidden="1"/>
    </xf>
    <xf numFmtId="2" fontId="11" fillId="2" borderId="2" xfId="0" applyNumberFormat="1" applyFont="1" applyFill="1" applyBorder="1" applyAlignment="1" applyProtection="1">
      <alignment horizontal="center"/>
      <protection hidden="1"/>
    </xf>
    <xf numFmtId="2" fontId="46" fillId="0" borderId="58" xfId="0" applyNumberFormat="1" applyFont="1" applyBorder="1" applyAlignment="1" applyProtection="1">
      <alignment horizontal="center"/>
      <protection hidden="1"/>
    </xf>
    <xf numFmtId="2" fontId="46" fillId="0" borderId="57" xfId="0" applyNumberFormat="1" applyFont="1" applyBorder="1" applyAlignment="1" applyProtection="1">
      <alignment horizontal="center"/>
      <protection hidden="1"/>
    </xf>
    <xf numFmtId="2" fontId="46" fillId="0" borderId="0" xfId="0" applyNumberFormat="1" applyFont="1" applyAlignment="1" applyProtection="1">
      <alignment horizontal="center"/>
      <protection hidden="1"/>
    </xf>
    <xf numFmtId="2" fontId="46" fillId="2" borderId="57" xfId="0" applyNumberFormat="1" applyFont="1" applyFill="1" applyBorder="1" applyAlignment="1" applyProtection="1">
      <alignment horizontal="center"/>
      <protection hidden="1"/>
    </xf>
    <xf numFmtId="2" fontId="46" fillId="2" borderId="58" xfId="0" applyNumberFormat="1" applyFont="1" applyFill="1" applyBorder="1" applyAlignment="1" applyProtection="1">
      <alignment horizontal="center"/>
      <protection hidden="1"/>
    </xf>
    <xf numFmtId="2" fontId="11" fillId="2" borderId="57" xfId="0" applyNumberFormat="1" applyFont="1" applyFill="1" applyBorder="1" applyAlignment="1" applyProtection="1">
      <alignment horizontal="center"/>
      <protection hidden="1"/>
    </xf>
    <xf numFmtId="164" fontId="11" fillId="0" borderId="57" xfId="0" applyNumberFormat="1" applyFont="1" applyBorder="1" applyAlignment="1" applyProtection="1">
      <alignment horizontal="center"/>
      <protection hidden="1"/>
    </xf>
    <xf numFmtId="164" fontId="11" fillId="0" borderId="58" xfId="0" applyNumberFormat="1" applyFont="1" applyBorder="1" applyAlignment="1" applyProtection="1">
      <alignment horizontal="center"/>
      <protection hidden="1"/>
    </xf>
    <xf numFmtId="1" fontId="15" fillId="2" borderId="67" xfId="0" applyNumberFormat="1" applyFont="1" applyFill="1" applyBorder="1" applyAlignment="1" applyProtection="1">
      <alignment horizontal="center"/>
      <protection hidden="1"/>
    </xf>
    <xf numFmtId="1" fontId="11" fillId="0" borderId="13" xfId="0" applyNumberFormat="1" applyFont="1" applyBorder="1" applyAlignment="1" applyProtection="1">
      <alignment horizontal="center"/>
      <protection hidden="1"/>
    </xf>
    <xf numFmtId="1" fontId="15" fillId="0" borderId="13" xfId="0" applyNumberFormat="1" applyFont="1" applyBorder="1" applyAlignment="1" applyProtection="1">
      <alignment horizontal="center"/>
      <protection hidden="1"/>
    </xf>
    <xf numFmtId="1" fontId="15" fillId="2" borderId="23" xfId="0" applyNumberFormat="1" applyFont="1" applyFill="1" applyBorder="1" applyAlignment="1" applyProtection="1">
      <alignment horizontal="center"/>
      <protection hidden="1"/>
    </xf>
    <xf numFmtId="0" fontId="11" fillId="2" borderId="34" xfId="0" applyFont="1" applyFill="1" applyBorder="1" applyAlignment="1" applyProtection="1">
      <alignment horizontal="center"/>
      <protection hidden="1"/>
    </xf>
    <xf numFmtId="0" fontId="11" fillId="2" borderId="37" xfId="0" applyFont="1" applyFill="1" applyBorder="1" applyAlignment="1" applyProtection="1">
      <alignment horizontal="center"/>
      <protection hidden="1"/>
    </xf>
    <xf numFmtId="0" fontId="15" fillId="2" borderId="40" xfId="0" applyFont="1" applyFill="1" applyBorder="1" applyAlignment="1" applyProtection="1">
      <alignment horizontal="center"/>
      <protection hidden="1"/>
    </xf>
    <xf numFmtId="0" fontId="11" fillId="2" borderId="18" xfId="0" applyFont="1" applyFill="1" applyBorder="1" applyAlignment="1" applyProtection="1">
      <alignment horizontal="center"/>
      <protection hidden="1"/>
    </xf>
    <xf numFmtId="1" fontId="15" fillId="0" borderId="23" xfId="0" applyNumberFormat="1" applyFont="1" applyBorder="1" applyAlignment="1" applyProtection="1">
      <alignment horizontal="center"/>
      <protection hidden="1"/>
    </xf>
    <xf numFmtId="1" fontId="15" fillId="0" borderId="47" xfId="0" applyNumberFormat="1" applyFont="1" applyBorder="1" applyAlignment="1" applyProtection="1">
      <alignment horizontal="center"/>
      <protection hidden="1"/>
    </xf>
    <xf numFmtId="1" fontId="15" fillId="0" borderId="87" xfId="0" applyNumberFormat="1" applyFont="1" applyBorder="1" applyAlignment="1" applyProtection="1">
      <alignment horizontal="center"/>
      <protection hidden="1"/>
    </xf>
    <xf numFmtId="164" fontId="15" fillId="0" borderId="13" xfId="0" applyNumberFormat="1" applyFont="1" applyBorder="1" applyAlignment="1" applyProtection="1">
      <alignment horizontal="center"/>
      <protection hidden="1"/>
    </xf>
    <xf numFmtId="1" fontId="15" fillId="2" borderId="13" xfId="0" applyNumberFormat="1" applyFont="1" applyFill="1" applyBorder="1" applyAlignment="1" applyProtection="1">
      <alignment horizontal="center"/>
      <protection hidden="1"/>
    </xf>
    <xf numFmtId="1" fontId="15" fillId="0" borderId="17" xfId="0" applyNumberFormat="1" applyFont="1" applyBorder="1" applyAlignment="1" applyProtection="1">
      <alignment horizontal="center"/>
      <protection hidden="1"/>
    </xf>
    <xf numFmtId="164" fontId="15" fillId="2" borderId="13" xfId="0" applyNumberFormat="1" applyFont="1" applyFill="1" applyBorder="1" applyAlignment="1" applyProtection="1">
      <alignment horizontal="center"/>
      <protection hidden="1"/>
    </xf>
    <xf numFmtId="0" fontId="15" fillId="0" borderId="28" xfId="0" applyFont="1" applyBorder="1" applyAlignment="1" applyProtection="1">
      <alignment horizontal="center"/>
      <protection hidden="1"/>
    </xf>
    <xf numFmtId="0" fontId="11" fillId="2" borderId="17" xfId="0" applyFont="1" applyFill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14" fontId="11" fillId="5" borderId="88" xfId="0" applyNumberFormat="1" applyFont="1" applyFill="1" applyBorder="1" applyAlignment="1" applyProtection="1">
      <alignment horizontal="center" vertical="center"/>
      <protection locked="0" hidden="1"/>
    </xf>
    <xf numFmtId="0" fontId="15" fillId="5" borderId="89" xfId="0" applyFont="1" applyFill="1" applyBorder="1" applyAlignment="1" applyProtection="1">
      <alignment horizontal="center" vertical="center"/>
      <protection locked="0" hidden="1"/>
    </xf>
    <xf numFmtId="0" fontId="0" fillId="0" borderId="90" xfId="0" applyBorder="1"/>
    <xf numFmtId="0" fontId="11" fillId="0" borderId="19" xfId="0" applyFont="1" applyBorder="1" applyAlignment="1" applyProtection="1">
      <alignment vertical="center"/>
      <protection hidden="1"/>
    </xf>
    <xf numFmtId="0" fontId="7" fillId="0" borderId="91" xfId="0" applyFont="1" applyBorder="1" applyProtection="1">
      <protection hidden="1"/>
    </xf>
    <xf numFmtId="0" fontId="15" fillId="2" borderId="92" xfId="0" applyFont="1" applyFill="1" applyBorder="1" applyAlignment="1" applyProtection="1">
      <alignment horizontal="left" vertical="center"/>
      <protection hidden="1"/>
    </xf>
    <xf numFmtId="0" fontId="15" fillId="0" borderId="67" xfId="0" applyFont="1" applyBorder="1" applyAlignment="1" applyProtection="1">
      <alignment horizontal="center" wrapText="1"/>
      <protection hidden="1"/>
    </xf>
    <xf numFmtId="0" fontId="15" fillId="4" borderId="47" xfId="0" applyFont="1" applyFill="1" applyBorder="1" applyAlignment="1" applyProtection="1">
      <alignment horizontal="center"/>
      <protection locked="0" hidden="1"/>
    </xf>
    <xf numFmtId="0" fontId="15" fillId="4" borderId="13" xfId="0" applyFont="1" applyFill="1" applyBorder="1" applyAlignment="1" applyProtection="1">
      <alignment horizontal="center"/>
      <protection locked="0" hidden="1"/>
    </xf>
    <xf numFmtId="0" fontId="15" fillId="4" borderId="23" xfId="0" applyFont="1" applyFill="1" applyBorder="1" applyAlignment="1" applyProtection="1">
      <alignment horizontal="center"/>
      <protection locked="0" hidden="1"/>
    </xf>
    <xf numFmtId="0" fontId="4" fillId="0" borderId="9" xfId="0" applyFont="1" applyBorder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center"/>
      <protection hidden="1"/>
    </xf>
    <xf numFmtId="0" fontId="11" fillId="0" borderId="34" xfId="0" applyFont="1" applyBorder="1" applyAlignment="1" applyProtection="1">
      <alignment horizontal="center"/>
      <protection hidden="1"/>
    </xf>
    <xf numFmtId="0" fontId="11" fillId="0" borderId="40" xfId="0" applyFont="1" applyBorder="1" applyAlignment="1" applyProtection="1">
      <alignment horizontal="center"/>
      <protection hidden="1"/>
    </xf>
    <xf numFmtId="0" fontId="11" fillId="0" borderId="28" xfId="0" applyFont="1" applyBorder="1" applyAlignment="1" applyProtection="1">
      <alignment horizontal="center"/>
      <protection hidden="1"/>
    </xf>
    <xf numFmtId="0" fontId="11" fillId="0" borderId="58" xfId="0" applyFont="1" applyBorder="1" applyAlignment="1" applyProtection="1">
      <alignment horizontal="center"/>
      <protection hidden="1"/>
    </xf>
    <xf numFmtId="0" fontId="15" fillId="0" borderId="59" xfId="0" applyFont="1" applyBorder="1" applyAlignment="1" applyProtection="1">
      <alignment horizontal="center"/>
      <protection hidden="1"/>
    </xf>
    <xf numFmtId="0" fontId="76" fillId="0" borderId="0" xfId="0" applyFont="1" applyProtection="1">
      <protection hidden="1"/>
    </xf>
    <xf numFmtId="0" fontId="77" fillId="0" borderId="0" xfId="0" applyFont="1" applyProtection="1">
      <protection hidden="1"/>
    </xf>
    <xf numFmtId="0" fontId="78" fillId="0" borderId="0" xfId="0" applyFont="1" applyProtection="1">
      <protection hidden="1"/>
    </xf>
    <xf numFmtId="0" fontId="79" fillId="0" borderId="0" xfId="0" applyFont="1" applyProtection="1">
      <protection hidden="1"/>
    </xf>
    <xf numFmtId="0" fontId="80" fillId="0" borderId="0" xfId="0" applyFont="1" applyProtection="1">
      <protection hidden="1"/>
    </xf>
    <xf numFmtId="0" fontId="10" fillId="0" borderId="20" xfId="0" applyFont="1" applyBorder="1" applyAlignment="1" applyProtection="1">
      <alignment wrapText="1"/>
      <protection hidden="1"/>
    </xf>
    <xf numFmtId="0" fontId="10" fillId="0" borderId="93" xfId="0" applyFont="1" applyBorder="1" applyAlignment="1" applyProtection="1">
      <alignment wrapText="1"/>
      <protection hidden="1"/>
    </xf>
    <xf numFmtId="0" fontId="10" fillId="0" borderId="38" xfId="0" applyFont="1" applyBorder="1" applyAlignment="1" applyProtection="1">
      <alignment wrapText="1"/>
      <protection hidden="1"/>
    </xf>
    <xf numFmtId="0" fontId="11" fillId="0" borderId="22" xfId="0" applyFont="1" applyBorder="1" applyAlignment="1" applyProtection="1">
      <alignment horizontal="center" textRotation="90" wrapText="1"/>
      <protection hidden="1"/>
    </xf>
    <xf numFmtId="0" fontId="1" fillId="0" borderId="94" xfId="0" applyFont="1" applyBorder="1" applyAlignment="1" applyProtection="1">
      <alignment horizontal="center"/>
      <protection hidden="1"/>
    </xf>
    <xf numFmtId="0" fontId="1" fillId="0" borderId="53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58" fillId="0" borderId="14" xfId="0" applyFont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 wrapText="1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14" fillId="0" borderId="95" xfId="0" applyFont="1" applyBorder="1" applyAlignment="1" applyProtection="1">
      <alignment horizontal="center" wrapText="1"/>
      <protection hidden="1"/>
    </xf>
    <xf numFmtId="0" fontId="0" fillId="0" borderId="29" xfId="0" applyBorder="1" applyProtection="1">
      <protection hidden="1"/>
    </xf>
    <xf numFmtId="0" fontId="0" fillId="0" borderId="31" xfId="0" applyBorder="1" applyProtection="1">
      <protection hidden="1"/>
    </xf>
    <xf numFmtId="0" fontId="0" fillId="0" borderId="4" xfId="0" applyBorder="1" applyProtection="1">
      <protection hidden="1"/>
    </xf>
    <xf numFmtId="0" fontId="11" fillId="2" borderId="96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1" fillId="2" borderId="30" xfId="0" applyFont="1" applyFill="1" applyBorder="1" applyAlignment="1" applyProtection="1">
      <alignment horizontal="center"/>
      <protection hidden="1"/>
    </xf>
    <xf numFmtId="0" fontId="11" fillId="0" borderId="97" xfId="0" applyFont="1" applyBorder="1" applyProtection="1">
      <protection hidden="1"/>
    </xf>
    <xf numFmtId="0" fontId="11" fillId="0" borderId="29" xfId="0" applyFont="1" applyBorder="1" applyProtection="1">
      <protection hidden="1"/>
    </xf>
    <xf numFmtId="0" fontId="11" fillId="0" borderId="4" xfId="0" applyFont="1" applyBorder="1" applyProtection="1">
      <protection hidden="1"/>
    </xf>
    <xf numFmtId="0" fontId="11" fillId="0" borderId="31" xfId="0" applyFont="1" applyBorder="1" applyProtection="1">
      <protection hidden="1"/>
    </xf>
    <xf numFmtId="0" fontId="15" fillId="3" borderId="98" xfId="0" applyFont="1" applyFill="1" applyBorder="1" applyAlignment="1" applyProtection="1">
      <alignment horizontal="center" vertical="center"/>
      <protection hidden="1"/>
    </xf>
    <xf numFmtId="0" fontId="11" fillId="6" borderId="70" xfId="0" applyFont="1" applyFill="1" applyBorder="1" applyAlignment="1" applyProtection="1">
      <alignment horizontal="center"/>
      <protection locked="0" hidden="1"/>
    </xf>
    <xf numFmtId="0" fontId="11" fillId="6" borderId="58" xfId="0" applyFont="1" applyFill="1" applyBorder="1" applyAlignment="1" applyProtection="1">
      <alignment horizontal="center"/>
      <protection locked="0" hidden="1"/>
    </xf>
    <xf numFmtId="0" fontId="11" fillId="6" borderId="59" xfId="0" applyFont="1" applyFill="1" applyBorder="1" applyAlignment="1" applyProtection="1">
      <alignment horizontal="center"/>
      <protection locked="0" hidden="1"/>
    </xf>
    <xf numFmtId="0" fontId="11" fillId="6" borderId="95" xfId="0" applyFont="1" applyFill="1" applyBorder="1" applyAlignment="1" applyProtection="1">
      <alignment horizontal="center"/>
      <protection locked="0" hidden="1"/>
    </xf>
    <xf numFmtId="0" fontId="11" fillId="6" borderId="57" xfId="0" applyFont="1" applyFill="1" applyBorder="1" applyAlignment="1" applyProtection="1">
      <alignment horizontal="center"/>
      <protection locked="0" hidden="1"/>
    </xf>
    <xf numFmtId="0" fontId="11" fillId="0" borderId="2" xfId="0" applyFont="1" applyBorder="1" applyAlignment="1" applyProtection="1">
      <alignment horizontal="center"/>
      <protection locked="0" hidden="1"/>
    </xf>
    <xf numFmtId="0" fontId="11" fillId="0" borderId="99" xfId="0" applyFont="1" applyBorder="1" applyAlignment="1" applyProtection="1">
      <alignment horizontal="center"/>
      <protection hidden="1"/>
    </xf>
    <xf numFmtId="0" fontId="16" fillId="0" borderId="100" xfId="0" applyFont="1" applyBorder="1" applyAlignment="1" applyProtection="1">
      <alignment horizontal="center"/>
      <protection hidden="1"/>
    </xf>
    <xf numFmtId="0" fontId="16" fillId="0" borderId="101" xfId="0" applyFont="1" applyBorder="1" applyAlignment="1" applyProtection="1">
      <alignment horizontal="center"/>
      <protection hidden="1"/>
    </xf>
    <xf numFmtId="0" fontId="27" fillId="0" borderId="96" xfId="0" applyFont="1" applyBorder="1" applyAlignment="1" applyProtection="1">
      <alignment horizontal="center"/>
      <protection hidden="1"/>
    </xf>
    <xf numFmtId="0" fontId="31" fillId="0" borderId="20" xfId="0" applyFont="1" applyBorder="1" applyProtection="1">
      <protection hidden="1"/>
    </xf>
    <xf numFmtId="0" fontId="11" fillId="0" borderId="29" xfId="0" applyFont="1" applyBorder="1" applyAlignment="1" applyProtection="1">
      <alignment horizontal="center"/>
      <protection hidden="1"/>
    </xf>
    <xf numFmtId="0" fontId="15" fillId="0" borderId="67" xfId="0" applyFont="1" applyBorder="1" applyAlignment="1" applyProtection="1">
      <alignment horizontal="center"/>
      <protection locked="0"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2" borderId="51" xfId="0" applyFont="1" applyFill="1" applyBorder="1" applyAlignment="1" applyProtection="1">
      <alignment horizontal="center"/>
      <protection hidden="1"/>
    </xf>
    <xf numFmtId="0" fontId="27" fillId="0" borderId="21" xfId="0" applyFont="1" applyBorder="1" applyProtection="1">
      <protection hidden="1"/>
    </xf>
    <xf numFmtId="0" fontId="27" fillId="0" borderId="96" xfId="0" applyFont="1" applyBorder="1" applyProtection="1">
      <protection hidden="1"/>
    </xf>
    <xf numFmtId="0" fontId="11" fillId="4" borderId="14" xfId="0" applyFont="1" applyFill="1" applyBorder="1" applyAlignment="1" applyProtection="1">
      <alignment horizontal="center"/>
      <protection locked="0" hidden="1"/>
    </xf>
    <xf numFmtId="0" fontId="27" fillId="4" borderId="14" xfId="0" applyFont="1" applyFill="1" applyBorder="1" applyAlignment="1" applyProtection="1">
      <alignment horizontal="center"/>
      <protection locked="0" hidden="1"/>
    </xf>
    <xf numFmtId="0" fontId="27" fillId="4" borderId="14" xfId="0" applyFont="1" applyFill="1" applyBorder="1" applyProtection="1">
      <protection locked="0" hidden="1"/>
    </xf>
    <xf numFmtId="0" fontId="16" fillId="4" borderId="47" xfId="0" applyFont="1" applyFill="1" applyBorder="1" applyAlignment="1" applyProtection="1">
      <alignment horizontal="center"/>
      <protection locked="0" hidden="1"/>
    </xf>
    <xf numFmtId="0" fontId="16" fillId="4" borderId="102" xfId="0" applyFont="1" applyFill="1" applyBorder="1" applyAlignment="1" applyProtection="1">
      <alignment horizontal="center"/>
      <protection locked="0" hidden="1"/>
    </xf>
    <xf numFmtId="0" fontId="16" fillId="4" borderId="87" xfId="0" applyFont="1" applyFill="1" applyBorder="1" applyAlignment="1" applyProtection="1">
      <alignment horizontal="center"/>
      <protection locked="0" hidden="1"/>
    </xf>
    <xf numFmtId="0" fontId="38" fillId="7" borderId="0" xfId="0" applyFont="1" applyFill="1" applyAlignment="1" applyProtection="1">
      <alignment horizontal="center"/>
      <protection hidden="1"/>
    </xf>
    <xf numFmtId="0" fontId="53" fillId="2" borderId="0" xfId="0" applyFont="1" applyFill="1" applyProtection="1">
      <protection hidden="1"/>
    </xf>
    <xf numFmtId="0" fontId="44" fillId="2" borderId="0" xfId="0" applyFont="1" applyFill="1" applyProtection="1">
      <protection hidden="1"/>
    </xf>
    <xf numFmtId="0" fontId="21" fillId="2" borderId="13" xfId="0" applyFont="1" applyFill="1" applyBorder="1" applyProtection="1">
      <protection hidden="1"/>
    </xf>
    <xf numFmtId="0" fontId="4" fillId="2" borderId="13" xfId="0" applyFont="1" applyFill="1" applyBorder="1" applyProtection="1">
      <protection hidden="1"/>
    </xf>
    <xf numFmtId="0" fontId="4" fillId="0" borderId="13" xfId="0" applyFont="1" applyBorder="1" applyProtection="1">
      <protection hidden="1"/>
    </xf>
    <xf numFmtId="0" fontId="37" fillId="2" borderId="13" xfId="0" applyFont="1" applyFill="1" applyBorder="1" applyProtection="1">
      <protection hidden="1"/>
    </xf>
    <xf numFmtId="0" fontId="39" fillId="2" borderId="13" xfId="0" applyFont="1" applyFill="1" applyBorder="1" applyProtection="1">
      <protection hidden="1"/>
    </xf>
    <xf numFmtId="0" fontId="0" fillId="4" borderId="11" xfId="0" applyFill="1" applyBorder="1" applyProtection="1">
      <protection locked="0" hidden="1"/>
    </xf>
    <xf numFmtId="0" fontId="4" fillId="4" borderId="11" xfId="0" applyFont="1" applyFill="1" applyBorder="1" applyProtection="1">
      <protection locked="0" hidden="1"/>
    </xf>
    <xf numFmtId="165" fontId="86" fillId="2" borderId="0" xfId="0" applyNumberFormat="1" applyFont="1" applyFill="1" applyProtection="1">
      <protection hidden="1"/>
    </xf>
    <xf numFmtId="0" fontId="21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6" borderId="14" xfId="0" applyFont="1" applyFill="1" applyBorder="1" applyAlignment="1" applyProtection="1">
      <alignment horizontal="center"/>
      <protection locked="0" hidden="1"/>
    </xf>
    <xf numFmtId="0" fontId="11" fillId="0" borderId="103" xfId="0" applyFont="1" applyBorder="1" applyAlignment="1" applyProtection="1">
      <alignment horizontal="center"/>
      <protection hidden="1"/>
    </xf>
    <xf numFmtId="0" fontId="46" fillId="2" borderId="103" xfId="0" applyFont="1" applyFill="1" applyBorder="1" applyAlignment="1" applyProtection="1">
      <alignment horizontal="center"/>
      <protection hidden="1"/>
    </xf>
    <xf numFmtId="0" fontId="0" fillId="0" borderId="57" xfId="0" applyBorder="1" applyProtection="1">
      <protection hidden="1"/>
    </xf>
    <xf numFmtId="0" fontId="0" fillId="0" borderId="2" xfId="0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11" fillId="0" borderId="14" xfId="0" applyFont="1" applyBorder="1" applyAlignment="1" applyProtection="1">
      <alignment horizontal="center"/>
      <protection locked="0" hidden="1"/>
    </xf>
    <xf numFmtId="164" fontId="11" fillId="6" borderId="57" xfId="0" applyNumberFormat="1" applyFont="1" applyFill="1" applyBorder="1" applyAlignment="1" applyProtection="1">
      <alignment horizontal="center"/>
      <protection locked="0" hidden="1"/>
    </xf>
    <xf numFmtId="0" fontId="2" fillId="0" borderId="21" xfId="0" applyFont="1" applyBorder="1" applyAlignment="1" applyProtection="1">
      <alignment horizontal="left"/>
      <protection hidden="1"/>
    </xf>
    <xf numFmtId="0" fontId="11" fillId="0" borderId="33" xfId="0" applyFont="1" applyBorder="1" applyProtection="1">
      <protection hidden="1"/>
    </xf>
    <xf numFmtId="0" fontId="11" fillId="0" borderId="34" xfId="0" applyFont="1" applyBorder="1" applyAlignment="1" applyProtection="1">
      <alignment horizontal="center"/>
      <protection locked="0" hidden="1"/>
    </xf>
    <xf numFmtId="0" fontId="11" fillId="0" borderId="104" xfId="0" applyFont="1" applyBorder="1" applyAlignment="1" applyProtection="1">
      <alignment horizontal="center"/>
      <protection hidden="1"/>
    </xf>
    <xf numFmtId="2" fontId="46" fillId="2" borderId="103" xfId="0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11" fillId="0" borderId="39" xfId="0" applyFont="1" applyBorder="1" applyProtection="1">
      <protection hidden="1"/>
    </xf>
    <xf numFmtId="0" fontId="11" fillId="0" borderId="40" xfId="0" applyFont="1" applyBorder="1" applyAlignment="1" applyProtection="1">
      <alignment horizontal="center"/>
      <protection locked="0" hidden="1"/>
    </xf>
    <xf numFmtId="164" fontId="11" fillId="0" borderId="103" xfId="0" applyNumberFormat="1" applyFont="1" applyBorder="1" applyAlignment="1" applyProtection="1">
      <alignment horizontal="center"/>
      <protection locked="0" hidden="1"/>
    </xf>
    <xf numFmtId="164" fontId="11" fillId="0" borderId="57" xfId="0" applyNumberFormat="1" applyFont="1" applyBorder="1" applyAlignment="1" applyProtection="1">
      <alignment horizontal="center"/>
      <protection locked="0" hidden="1"/>
    </xf>
    <xf numFmtId="9" fontId="11" fillId="0" borderId="58" xfId="0" applyNumberFormat="1" applyFont="1" applyBorder="1" applyAlignment="1" applyProtection="1">
      <alignment horizontal="center"/>
      <protection hidden="1"/>
    </xf>
    <xf numFmtId="0" fontId="87" fillId="0" borderId="0" xfId="0" applyFont="1" applyProtection="1">
      <protection hidden="1"/>
    </xf>
    <xf numFmtId="0" fontId="88" fillId="0" borderId="0" xfId="0" applyFont="1" applyProtection="1">
      <protection hidden="1"/>
    </xf>
    <xf numFmtId="0" fontId="89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83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91" fillId="0" borderId="0" xfId="0" applyFont="1" applyProtection="1">
      <protection hidden="1"/>
    </xf>
    <xf numFmtId="0" fontId="92" fillId="0" borderId="0" xfId="0" applyFont="1" applyProtection="1">
      <protection hidden="1"/>
    </xf>
    <xf numFmtId="0" fontId="93" fillId="0" borderId="0" xfId="0" applyFont="1" applyProtection="1">
      <protection hidden="1"/>
    </xf>
    <xf numFmtId="0" fontId="85" fillId="0" borderId="0" xfId="0" applyFont="1" applyProtection="1">
      <protection hidden="1"/>
    </xf>
    <xf numFmtId="0" fontId="94" fillId="0" borderId="0" xfId="0" applyFont="1" applyProtection="1">
      <protection hidden="1"/>
    </xf>
    <xf numFmtId="0" fontId="94" fillId="0" borderId="0" xfId="0" applyFont="1" applyProtection="1">
      <protection hidden="1"/>
    </xf>
    <xf numFmtId="0" fontId="85" fillId="0" borderId="0" xfId="0" applyFont="1" applyProtection="1">
      <protection hidden="1"/>
    </xf>
    <xf numFmtId="0" fontId="95" fillId="0" borderId="0" xfId="0" applyFont="1" applyProtection="1">
      <protection hidden="1"/>
    </xf>
    <xf numFmtId="0" fontId="96" fillId="0" borderId="0" xfId="0" applyFont="1" applyProtection="1">
      <protection hidden="1"/>
    </xf>
    <xf numFmtId="0" fontId="97" fillId="0" borderId="0" xfId="0" applyFont="1" applyProtection="1">
      <protection hidden="1"/>
    </xf>
    <xf numFmtId="0" fontId="95" fillId="0" borderId="0" xfId="0" applyFont="1" applyAlignment="1" applyProtection="1">
      <alignment textRotation="90" wrapText="1"/>
      <protection hidden="1"/>
    </xf>
    <xf numFmtId="0" fontId="98" fillId="0" borderId="0" xfId="0" applyFont="1" applyAlignment="1" applyProtection="1">
      <alignment horizontal="center" textRotation="88"/>
      <protection hidden="1"/>
    </xf>
    <xf numFmtId="0" fontId="99" fillId="0" borderId="0" xfId="0" applyFont="1" applyProtection="1">
      <protection hidden="1"/>
    </xf>
    <xf numFmtId="0" fontId="99" fillId="0" borderId="0" xfId="0" applyFont="1" applyAlignment="1" applyProtection="1">
      <alignment horizontal="center"/>
      <protection hidden="1"/>
    </xf>
    <xf numFmtId="0" fontId="99" fillId="3" borderId="0" xfId="0" applyFont="1" applyFill="1" applyAlignment="1" applyProtection="1">
      <alignment horizontal="center"/>
      <protection hidden="1"/>
    </xf>
    <xf numFmtId="0" fontId="100" fillId="0" borderId="0" xfId="0" applyFont="1" applyProtection="1">
      <protection hidden="1"/>
    </xf>
    <xf numFmtId="0" fontId="1" fillId="0" borderId="67" xfId="0" applyFont="1" applyBorder="1" applyAlignment="1" applyProtection="1">
      <alignment horizontal="center" wrapText="1"/>
      <protection hidden="1"/>
    </xf>
    <xf numFmtId="1" fontId="11" fillId="0" borderId="70" xfId="0" applyNumberFormat="1" applyFont="1" applyFill="1" applyBorder="1" applyAlignment="1" applyProtection="1">
      <alignment horizontal="center"/>
      <protection hidden="1"/>
    </xf>
    <xf numFmtId="0" fontId="2" fillId="0" borderId="0" xfId="0" applyFont="1"/>
    <xf numFmtId="0" fontId="101" fillId="0" borderId="0" xfId="0" applyFont="1"/>
    <xf numFmtId="0" fontId="90" fillId="0" borderId="0" xfId="0" applyFont="1" applyAlignment="1" applyProtection="1">
      <alignment horizontal="center" vertical="center"/>
      <protection hidden="1"/>
    </xf>
    <xf numFmtId="0" fontId="14" fillId="3" borderId="50" xfId="0" applyFont="1" applyFill="1" applyBorder="1" applyProtection="1">
      <protection hidden="1"/>
    </xf>
    <xf numFmtId="0" fontId="12" fillId="3" borderId="50" xfId="0" applyFont="1" applyFill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hidden="1"/>
    </xf>
    <xf numFmtId="0" fontId="16" fillId="0" borderId="33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textRotation="90"/>
      <protection hidden="1"/>
    </xf>
    <xf numFmtId="2" fontId="11" fillId="3" borderId="30" xfId="0" applyNumberFormat="1" applyFont="1" applyFill="1" applyBorder="1" applyAlignment="1" applyProtection="1">
      <alignment horizontal="center"/>
      <protection hidden="1"/>
    </xf>
    <xf numFmtId="0" fontId="16" fillId="0" borderId="35" xfId="0" applyFont="1" applyBorder="1" applyAlignment="1" applyProtection="1">
      <alignment horizontal="center"/>
      <protection hidden="1"/>
    </xf>
    <xf numFmtId="0" fontId="15" fillId="3" borderId="51" xfId="0" applyFont="1" applyFill="1" applyBorder="1" applyAlignment="1" applyProtection="1">
      <alignment horizontal="center"/>
      <protection hidden="1"/>
    </xf>
    <xf numFmtId="2" fontId="15" fillId="3" borderId="51" xfId="0" applyNumberFormat="1" applyFont="1" applyFill="1" applyBorder="1" applyAlignment="1" applyProtection="1">
      <alignment horizontal="center" vertical="center"/>
      <protection hidden="1"/>
    </xf>
    <xf numFmtId="0" fontId="4" fillId="0" borderId="106" xfId="0" applyFont="1" applyBorder="1" applyAlignment="1" applyProtection="1">
      <alignment horizontal="center" textRotation="90" wrapText="1"/>
      <protection hidden="1"/>
    </xf>
    <xf numFmtId="0" fontId="4" fillId="0" borderId="107" xfId="0" applyFont="1" applyBorder="1" applyAlignment="1" applyProtection="1">
      <alignment horizontal="center" textRotation="90" wrapText="1"/>
      <protection hidden="1"/>
    </xf>
    <xf numFmtId="0" fontId="4" fillId="0" borderId="108" xfId="0" applyFont="1" applyBorder="1" applyAlignment="1" applyProtection="1">
      <alignment horizontal="center" textRotation="90" wrapText="1"/>
      <protection hidden="1"/>
    </xf>
    <xf numFmtId="0" fontId="4" fillId="3" borderId="86" xfId="0" applyFont="1" applyFill="1" applyBorder="1" applyAlignment="1" applyProtection="1">
      <alignment horizontal="center"/>
      <protection hidden="1"/>
    </xf>
    <xf numFmtId="0" fontId="0" fillId="3" borderId="69" xfId="0" applyFill="1" applyBorder="1" applyAlignment="1" applyProtection="1">
      <alignment horizontal="center"/>
      <protection hidden="1"/>
    </xf>
    <xf numFmtId="0" fontId="0" fillId="3" borderId="79" xfId="0" applyFill="1" applyBorder="1" applyAlignment="1" applyProtection="1">
      <alignment horizontal="center"/>
      <protection hidden="1"/>
    </xf>
    <xf numFmtId="0" fontId="0" fillId="3" borderId="108" xfId="0" applyFill="1" applyBorder="1" applyAlignment="1" applyProtection="1">
      <alignment horizontal="center"/>
      <protection hidden="1"/>
    </xf>
    <xf numFmtId="0" fontId="0" fillId="3" borderId="69" xfId="0" applyFill="1" applyBorder="1" applyProtection="1">
      <protection hidden="1"/>
    </xf>
    <xf numFmtId="0" fontId="0" fillId="3" borderId="107" xfId="0" applyFill="1" applyBorder="1" applyProtection="1">
      <protection hidden="1"/>
    </xf>
    <xf numFmtId="0" fontId="4" fillId="3" borderId="69" xfId="0" applyFont="1" applyFill="1" applyBorder="1" applyAlignment="1" applyProtection="1">
      <alignment horizontal="center"/>
      <protection hidden="1"/>
    </xf>
    <xf numFmtId="0" fontId="4" fillId="3" borderId="109" xfId="0" applyFont="1" applyFill="1" applyBorder="1" applyAlignment="1" applyProtection="1">
      <alignment horizontal="center"/>
      <protection hidden="1"/>
    </xf>
    <xf numFmtId="2" fontId="11" fillId="3" borderId="74" xfId="0" applyNumberFormat="1" applyFont="1" applyFill="1" applyBorder="1" applyAlignment="1" applyProtection="1">
      <alignment horizontal="center"/>
      <protection hidden="1"/>
    </xf>
    <xf numFmtId="2" fontId="11" fillId="3" borderId="75" xfId="0" applyNumberFormat="1" applyFont="1" applyFill="1" applyBorder="1" applyAlignment="1" applyProtection="1">
      <alignment horizontal="center"/>
      <protection hidden="1"/>
    </xf>
    <xf numFmtId="2" fontId="11" fillId="3" borderId="110" xfId="0" applyNumberFormat="1" applyFont="1" applyFill="1" applyBorder="1" applyAlignment="1" applyProtection="1">
      <alignment horizontal="center"/>
      <protection hidden="1"/>
    </xf>
    <xf numFmtId="0" fontId="0" fillId="3" borderId="110" xfId="0" applyFill="1" applyBorder="1" applyAlignment="1" applyProtection="1">
      <alignment horizontal="center"/>
      <protection hidden="1"/>
    </xf>
    <xf numFmtId="0" fontId="0" fillId="3" borderId="51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0" fillId="0" borderId="0" xfId="0" applyBorder="1" applyProtection="1">
      <protection hidden="1"/>
    </xf>
    <xf numFmtId="0" fontId="4" fillId="0" borderId="66" xfId="0" applyFont="1" applyBorder="1" applyAlignment="1" applyProtection="1">
      <alignment horizontal="center" textRotation="90" wrapText="1"/>
      <protection hidden="1"/>
    </xf>
    <xf numFmtId="0" fontId="14" fillId="3" borderId="51" xfId="0" applyFont="1" applyFill="1" applyBorder="1" applyProtection="1">
      <protection hidden="1"/>
    </xf>
    <xf numFmtId="0" fontId="0" fillId="3" borderId="86" xfId="0" applyFill="1" applyBorder="1" applyAlignment="1" applyProtection="1">
      <alignment horizontal="center"/>
      <protection hidden="1"/>
    </xf>
    <xf numFmtId="2" fontId="15" fillId="3" borderId="73" xfId="0" applyNumberFormat="1" applyFont="1" applyFill="1" applyBorder="1" applyAlignment="1" applyProtection="1">
      <alignment horizontal="center" vertical="center"/>
      <protection hidden="1"/>
    </xf>
    <xf numFmtId="0" fontId="4" fillId="3" borderId="108" xfId="0" applyFont="1" applyFill="1" applyBorder="1" applyAlignment="1" applyProtection="1">
      <alignment horizontal="center"/>
      <protection hidden="1"/>
    </xf>
    <xf numFmtId="0" fontId="90" fillId="0" borderId="86" xfId="0" applyFont="1" applyBorder="1" applyAlignment="1" applyProtection="1">
      <alignment horizontal="center" vertical="center"/>
      <protection hidden="1"/>
    </xf>
    <xf numFmtId="0" fontId="90" fillId="0" borderId="111" xfId="0" applyFont="1" applyBorder="1" applyAlignment="1" applyProtection="1">
      <alignment horizontal="center" vertical="center"/>
      <protection hidden="1"/>
    </xf>
    <xf numFmtId="0" fontId="90" fillId="0" borderId="79" xfId="0" applyFont="1" applyBorder="1" applyAlignment="1" applyProtection="1">
      <alignment horizontal="center" vertical="center"/>
      <protection hidden="1"/>
    </xf>
    <xf numFmtId="0" fontId="12" fillId="3" borderId="51" xfId="0" applyFont="1" applyFill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textRotation="90" wrapText="1"/>
      <protection hidden="1"/>
    </xf>
    <xf numFmtId="0" fontId="4" fillId="0" borderId="76" xfId="0" applyFont="1" applyBorder="1" applyAlignment="1" applyProtection="1">
      <alignment horizontal="center" textRotation="90" wrapText="1"/>
      <protection hidden="1"/>
    </xf>
    <xf numFmtId="0" fontId="19" fillId="0" borderId="13" xfId="1" applyBorder="1" applyAlignment="1" applyProtection="1">
      <alignment horizontal="center" wrapText="1"/>
      <protection hidden="1"/>
    </xf>
    <xf numFmtId="0" fontId="19" fillId="0" borderId="33" xfId="1" applyBorder="1" applyAlignment="1" applyProtection="1">
      <alignment horizontal="center" wrapText="1"/>
      <protection hidden="1"/>
    </xf>
    <xf numFmtId="0" fontId="19" fillId="0" borderId="47" xfId="1" applyBorder="1" applyAlignment="1" applyProtection="1">
      <alignment horizontal="center" wrapText="1"/>
      <protection hidden="1"/>
    </xf>
    <xf numFmtId="0" fontId="19" fillId="0" borderId="23" xfId="1" applyBorder="1" applyAlignment="1" applyProtection="1">
      <alignment horizontal="center" wrapText="1"/>
      <protection hidden="1"/>
    </xf>
    <xf numFmtId="0" fontId="87" fillId="0" borderId="22" xfId="0" applyFont="1" applyBorder="1" applyAlignment="1" applyProtection="1">
      <alignment horizontal="center" vertical="center"/>
      <protection hidden="1"/>
    </xf>
    <xf numFmtId="0" fontId="87" fillId="0" borderId="22" xfId="0" applyFont="1" applyBorder="1" applyAlignment="1">
      <alignment horizontal="center" vertical="center"/>
    </xf>
    <xf numFmtId="0" fontId="87" fillId="0" borderId="18" xfId="0" applyFont="1" applyBorder="1" applyAlignment="1">
      <alignment horizontal="center" vertical="center"/>
    </xf>
    <xf numFmtId="0" fontId="4" fillId="0" borderId="42" xfId="0" applyFont="1" applyFill="1" applyBorder="1" applyProtection="1">
      <protection hidden="1"/>
    </xf>
    <xf numFmtId="0" fontId="102" fillId="0" borderId="42" xfId="0" applyFont="1" applyFill="1" applyBorder="1" applyProtection="1">
      <protection hidden="1"/>
    </xf>
    <xf numFmtId="0" fontId="36" fillId="0" borderId="42" xfId="0" applyFont="1" applyFill="1" applyBorder="1" applyProtection="1">
      <protection hidden="1"/>
    </xf>
    <xf numFmtId="0" fontId="87" fillId="0" borderId="42" xfId="0" applyFont="1" applyFill="1" applyBorder="1" applyProtection="1">
      <protection hidden="1"/>
    </xf>
    <xf numFmtId="0" fontId="87" fillId="0" borderId="12" xfId="0" applyFont="1" applyFill="1" applyBorder="1" applyProtection="1">
      <protection hidden="1"/>
    </xf>
    <xf numFmtId="0" fontId="87" fillId="0" borderId="13" xfId="0" applyFont="1" applyFill="1" applyBorder="1" applyAlignment="1" applyProtection="1">
      <alignment horizontal="center"/>
      <protection hidden="1"/>
    </xf>
    <xf numFmtId="0" fontId="87" fillId="0" borderId="14" xfId="0" applyFont="1" applyFill="1" applyBorder="1" applyAlignment="1" applyProtection="1">
      <alignment horizontal="center"/>
      <protection hidden="1"/>
    </xf>
    <xf numFmtId="0" fontId="87" fillId="0" borderId="12" xfId="0" applyFont="1" applyFill="1" applyBorder="1" applyAlignment="1" applyProtection="1">
      <alignment horizontal="center"/>
      <protection hidden="1"/>
    </xf>
    <xf numFmtId="0" fontId="0" fillId="0" borderId="12" xfId="0" applyFill="1" applyBorder="1" applyProtection="1">
      <protection hidden="1"/>
    </xf>
    <xf numFmtId="2" fontId="0" fillId="0" borderId="13" xfId="0" applyNumberFormat="1" applyFill="1" applyBorder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hidden="1"/>
    </xf>
    <xf numFmtId="0" fontId="4" fillId="0" borderId="13" xfId="0" applyFont="1" applyFill="1" applyBorder="1" applyAlignment="1" applyProtection="1">
      <alignment horizontal="center"/>
      <protection hidden="1"/>
    </xf>
    <xf numFmtId="1" fontId="4" fillId="0" borderId="13" xfId="0" applyNumberFormat="1" applyFont="1" applyFill="1" applyBorder="1" applyAlignment="1" applyProtection="1">
      <alignment horizontal="center"/>
      <protection hidden="1"/>
    </xf>
    <xf numFmtId="0" fontId="0" fillId="0" borderId="35" xfId="0" applyFill="1" applyBorder="1" applyProtection="1">
      <protection hidden="1"/>
    </xf>
    <xf numFmtId="0" fontId="0" fillId="0" borderId="33" xfId="0" applyFill="1" applyBorder="1" applyAlignment="1" applyProtection="1">
      <alignment horizontal="center"/>
      <protection hidden="1"/>
    </xf>
    <xf numFmtId="0" fontId="0" fillId="0" borderId="34" xfId="0" applyFill="1" applyBorder="1" applyAlignment="1" applyProtection="1">
      <alignment horizontal="center"/>
      <protection hidden="1"/>
    </xf>
    <xf numFmtId="0" fontId="21" fillId="0" borderId="35" xfId="0" applyFont="1" applyFill="1" applyBorder="1" applyAlignment="1" applyProtection="1">
      <alignment horizontal="center"/>
      <protection hidden="1"/>
    </xf>
    <xf numFmtId="0" fontId="4" fillId="0" borderId="33" xfId="0" applyFont="1" applyFill="1" applyBorder="1" applyAlignment="1" applyProtection="1">
      <alignment horizontal="center"/>
      <protection hidden="1"/>
    </xf>
    <xf numFmtId="0" fontId="0" fillId="0" borderId="46" xfId="0" applyFill="1" applyBorder="1" applyProtection="1">
      <protection hidden="1"/>
    </xf>
    <xf numFmtId="0" fontId="0" fillId="0" borderId="47" xfId="0" applyFill="1" applyBorder="1" applyAlignment="1" applyProtection="1">
      <alignment horizontal="center"/>
      <protection hidden="1"/>
    </xf>
    <xf numFmtId="0" fontId="0" fillId="0" borderId="25" xfId="0" applyFill="1" applyBorder="1" applyAlignment="1" applyProtection="1">
      <alignment horizontal="center"/>
      <protection hidden="1"/>
    </xf>
    <xf numFmtId="0" fontId="0" fillId="0" borderId="46" xfId="0" applyFill="1" applyBorder="1" applyAlignment="1" applyProtection="1">
      <alignment horizontal="center"/>
      <protection hidden="1"/>
    </xf>
    <xf numFmtId="0" fontId="4" fillId="0" borderId="47" xfId="0" applyFont="1" applyFill="1" applyBorder="1" applyAlignment="1" applyProtection="1">
      <alignment horizontal="center"/>
      <protection hidden="1"/>
    </xf>
    <xf numFmtId="0" fontId="14" fillId="0" borderId="47" xfId="0" applyFont="1" applyFill="1" applyBorder="1" applyAlignment="1" applyProtection="1">
      <alignment horizontal="center"/>
      <protection hidden="1"/>
    </xf>
    <xf numFmtId="0" fontId="19" fillId="0" borderId="14" xfId="1" applyFill="1" applyBorder="1" applyAlignment="1" applyProtection="1">
      <alignment horizontal="center" wrapText="1"/>
      <protection hidden="1"/>
    </xf>
    <xf numFmtId="0" fontId="19" fillId="0" borderId="12" xfId="1" applyFill="1" applyBorder="1" applyAlignment="1" applyProtection="1">
      <alignment horizontal="center" wrapText="1"/>
      <protection hidden="1"/>
    </xf>
    <xf numFmtId="0" fontId="14" fillId="0" borderId="13" xfId="0" applyFont="1" applyFill="1" applyBorder="1" applyAlignment="1" applyProtection="1">
      <alignment horizontal="center"/>
      <protection hidden="1"/>
    </xf>
    <xf numFmtId="0" fontId="19" fillId="0" borderId="34" xfId="1" applyFill="1" applyBorder="1" applyAlignment="1" applyProtection="1">
      <alignment horizontal="center" wrapText="1"/>
      <protection hidden="1"/>
    </xf>
    <xf numFmtId="0" fontId="19" fillId="0" borderId="35" xfId="1" applyFill="1" applyBorder="1" applyAlignment="1" applyProtection="1">
      <alignment horizontal="center" wrapText="1"/>
      <protection hidden="1"/>
    </xf>
    <xf numFmtId="0" fontId="14" fillId="0" borderId="33" xfId="0" applyFont="1" applyFill="1" applyBorder="1" applyAlignment="1" applyProtection="1">
      <alignment horizontal="center"/>
      <protection hidden="1"/>
    </xf>
    <xf numFmtId="0" fontId="19" fillId="0" borderId="1" xfId="1" applyFill="1" applyBorder="1" applyAlignment="1" applyProtection="1">
      <alignment horizontal="center" wrapText="1"/>
      <protection hidden="1"/>
    </xf>
    <xf numFmtId="0" fontId="0" fillId="0" borderId="35" xfId="0" applyFill="1" applyBorder="1" applyAlignment="1" applyProtection="1">
      <alignment horizontal="center"/>
      <protection hidden="1"/>
    </xf>
    <xf numFmtId="0" fontId="91" fillId="0" borderId="33" xfId="0" applyFont="1" applyFill="1" applyBorder="1" applyAlignment="1" applyProtection="1">
      <alignment horizontal="center"/>
      <protection hidden="1"/>
    </xf>
    <xf numFmtId="0" fontId="4" fillId="0" borderId="25" xfId="0" applyFont="1" applyFill="1" applyBorder="1" applyAlignment="1" applyProtection="1">
      <alignment horizontal="center"/>
      <protection hidden="1"/>
    </xf>
    <xf numFmtId="0" fontId="14" fillId="0" borderId="46" xfId="0" applyFont="1" applyFill="1" applyBorder="1" applyAlignment="1" applyProtection="1">
      <alignment horizontal="center"/>
      <protection hidden="1"/>
    </xf>
    <xf numFmtId="0" fontId="53" fillId="0" borderId="13" xfId="0" applyFont="1" applyFill="1" applyBorder="1" applyAlignment="1" applyProtection="1">
      <alignment horizontal="center"/>
      <protection hidden="1"/>
    </xf>
    <xf numFmtId="0" fontId="1" fillId="0" borderId="13" xfId="0" applyFont="1" applyFill="1" applyBorder="1" applyAlignment="1" applyProtection="1">
      <alignment horizontal="center"/>
      <protection hidden="1"/>
    </xf>
    <xf numFmtId="0" fontId="35" fillId="0" borderId="13" xfId="0" applyFont="1" applyFill="1" applyBorder="1" applyAlignment="1" applyProtection="1">
      <alignment horizontal="center"/>
      <protection hidden="1"/>
    </xf>
    <xf numFmtId="0" fontId="87" fillId="8" borderId="13" xfId="0" applyFont="1" applyFill="1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8" borderId="33" xfId="0" applyFill="1" applyBorder="1" applyAlignment="1" applyProtection="1">
      <alignment horizontal="center"/>
      <protection hidden="1"/>
    </xf>
    <xf numFmtId="0" fontId="0" fillId="8" borderId="47" xfId="0" applyFill="1" applyBorder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87" fillId="0" borderId="18" xfId="0" applyFont="1" applyBorder="1" applyAlignment="1" applyProtection="1">
      <alignment horizontal="center" vertical="center"/>
      <protection hidden="1"/>
    </xf>
    <xf numFmtId="0" fontId="87" fillId="0" borderId="1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textRotation="90" wrapText="1"/>
      <protection hidden="1"/>
    </xf>
    <xf numFmtId="0" fontId="15" fillId="0" borderId="113" xfId="0" applyFont="1" applyBorder="1" applyAlignment="1" applyProtection="1">
      <alignment horizontal="center" wrapText="1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1" fillId="3" borderId="75" xfId="0" applyFont="1" applyFill="1" applyBorder="1" applyAlignment="1" applyProtection="1">
      <alignment horizontal="center"/>
      <protection hidden="1"/>
    </xf>
    <xf numFmtId="0" fontId="0" fillId="0" borderId="86" xfId="0" applyFill="1" applyBorder="1" applyAlignment="1" applyProtection="1">
      <alignment horizontal="center"/>
      <protection hidden="1"/>
    </xf>
    <xf numFmtId="2" fontId="11" fillId="3" borderId="78" xfId="0" applyNumberFormat="1" applyFont="1" applyFill="1" applyBorder="1" applyAlignment="1" applyProtection="1">
      <alignment horizontal="center"/>
      <protection hidden="1"/>
    </xf>
    <xf numFmtId="2" fontId="11" fillId="3" borderId="114" xfId="0" applyNumberFormat="1" applyFont="1" applyFill="1" applyBorder="1" applyAlignment="1" applyProtection="1">
      <alignment horizontal="center"/>
      <protection hidden="1"/>
    </xf>
    <xf numFmtId="0" fontId="15" fillId="0" borderId="10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11" fillId="0" borderId="11" xfId="0" applyFont="1" applyBorder="1" applyProtection="1">
      <protection hidden="1"/>
    </xf>
    <xf numFmtId="2" fontId="15" fillId="0" borderId="11" xfId="0" applyNumberFormat="1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4" fillId="0" borderId="60" xfId="0" applyFont="1" applyBorder="1" applyProtection="1">
      <protection hidden="1"/>
    </xf>
    <xf numFmtId="9" fontId="15" fillId="0" borderId="11" xfId="0" applyNumberFormat="1" applyFont="1" applyBorder="1" applyAlignment="1" applyProtection="1">
      <alignment horizontal="center"/>
      <protection hidden="1"/>
    </xf>
    <xf numFmtId="9" fontId="0" fillId="0" borderId="60" xfId="0" applyNumberFormat="1" applyBorder="1" applyAlignment="1" applyProtection="1">
      <alignment horizontal="center"/>
      <protection hidden="1"/>
    </xf>
    <xf numFmtId="0" fontId="1" fillId="0" borderId="97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4" fillId="0" borderId="21" xfId="0" applyFont="1" applyBorder="1" applyAlignment="1" applyProtection="1">
      <alignment horizontal="center"/>
      <protection hidden="1"/>
    </xf>
    <xf numFmtId="0" fontId="4" fillId="0" borderId="21" xfId="0" applyFont="1" applyBorder="1" applyProtection="1">
      <protection hidden="1"/>
    </xf>
    <xf numFmtId="0" fontId="4" fillId="0" borderId="96" xfId="0" applyFont="1" applyBorder="1" applyProtection="1">
      <protection hidden="1"/>
    </xf>
    <xf numFmtId="0" fontId="16" fillId="0" borderId="105" xfId="0" applyFont="1" applyBorder="1" applyAlignment="1" applyProtection="1">
      <alignment horizontal="center"/>
      <protection hidden="1"/>
    </xf>
    <xf numFmtId="0" fontId="4" fillId="0" borderId="106" xfId="0" applyFont="1" applyBorder="1" applyAlignment="1" applyProtection="1">
      <alignment horizontal="center" textRotation="90" wrapText="1"/>
      <protection hidden="1"/>
    </xf>
    <xf numFmtId="0" fontId="16" fillId="4" borderId="2" xfId="0" applyFont="1" applyFill="1" applyBorder="1" applyAlignment="1" applyProtection="1">
      <alignment horizontal="center"/>
      <protection locked="0" hidden="1"/>
    </xf>
    <xf numFmtId="0" fontId="16" fillId="4" borderId="28" xfId="0" applyFont="1" applyFill="1" applyBorder="1" applyAlignment="1" applyProtection="1">
      <alignment horizontal="center"/>
      <protection locked="0" hidden="1"/>
    </xf>
    <xf numFmtId="0" fontId="16" fillId="4" borderId="70" xfId="0" applyFont="1" applyFill="1" applyBorder="1" applyAlignment="1" applyProtection="1">
      <alignment horizontal="center"/>
      <protection locked="0" hidden="1"/>
    </xf>
    <xf numFmtId="0" fontId="16" fillId="4" borderId="57" xfId="0" applyFont="1" applyFill="1" applyBorder="1" applyAlignment="1" applyProtection="1">
      <alignment horizontal="center"/>
      <protection locked="0" hidden="1"/>
    </xf>
    <xf numFmtId="0" fontId="16" fillId="0" borderId="57" xfId="0" applyFont="1" applyBorder="1" applyAlignment="1" applyProtection="1">
      <alignment horizontal="center"/>
      <protection hidden="1"/>
    </xf>
    <xf numFmtId="0" fontId="16" fillId="4" borderId="59" xfId="0" applyFont="1" applyFill="1" applyBorder="1" applyAlignment="1" applyProtection="1">
      <alignment horizontal="center"/>
      <protection locked="0" hidden="1"/>
    </xf>
    <xf numFmtId="0" fontId="16" fillId="4" borderId="98" xfId="0" applyFont="1" applyFill="1" applyBorder="1" applyAlignment="1" applyProtection="1">
      <alignment horizontal="center"/>
      <protection locked="0" hidden="1"/>
    </xf>
    <xf numFmtId="0" fontId="4" fillId="0" borderId="67" xfId="0" applyFont="1" applyBorder="1" applyAlignment="1" applyProtection="1">
      <alignment textRotation="90" wrapText="1"/>
      <protection hidden="1"/>
    </xf>
    <xf numFmtId="0" fontId="15" fillId="4" borderId="70" xfId="0" applyFont="1" applyFill="1" applyBorder="1" applyAlignment="1" applyProtection="1">
      <alignment horizontal="center"/>
      <protection locked="0" hidden="1"/>
    </xf>
    <xf numFmtId="0" fontId="15" fillId="4" borderId="57" xfId="0" applyFont="1" applyFill="1" applyBorder="1" applyAlignment="1" applyProtection="1">
      <alignment horizontal="center"/>
      <protection locked="0" hidden="1"/>
    </xf>
    <xf numFmtId="0" fontId="10" fillId="0" borderId="0" xfId="0" applyFont="1" applyBorder="1" applyAlignment="1" applyProtection="1">
      <alignment wrapText="1"/>
      <protection hidden="1"/>
    </xf>
    <xf numFmtId="2" fontId="11" fillId="0" borderId="0" xfId="0" applyNumberFormat="1" applyFont="1" applyProtection="1">
      <protection hidden="1"/>
    </xf>
    <xf numFmtId="0" fontId="4" fillId="0" borderId="113" xfId="0" applyFont="1" applyBorder="1" applyAlignment="1" applyProtection="1">
      <alignment horizontal="center"/>
      <protection hidden="1"/>
    </xf>
    <xf numFmtId="0" fontId="4" fillId="0" borderId="152" xfId="0" applyFont="1" applyBorder="1" applyAlignment="1" applyProtection="1">
      <alignment horizontal="center"/>
      <protection hidden="1"/>
    </xf>
    <xf numFmtId="0" fontId="4" fillId="0" borderId="62" xfId="0" applyFont="1" applyBorder="1" applyAlignment="1" applyProtection="1">
      <alignment horizontal="center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 textRotation="90" wrapText="1"/>
      <protection hidden="1"/>
    </xf>
    <xf numFmtId="0" fontId="105" fillId="0" borderId="0" xfId="0" applyFont="1" applyProtection="1">
      <protection hidden="1"/>
    </xf>
    <xf numFmtId="0" fontId="106" fillId="0" borderId="0" xfId="0" applyFont="1" applyProtection="1">
      <protection hidden="1"/>
    </xf>
    <xf numFmtId="0" fontId="107" fillId="0" borderId="0" xfId="0" applyFont="1" applyProtection="1">
      <protection hidden="1"/>
    </xf>
    <xf numFmtId="0" fontId="108" fillId="0" borderId="0" xfId="0" applyFont="1" applyProtection="1">
      <protection hidden="1"/>
    </xf>
    <xf numFmtId="0" fontId="109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4" fillId="6" borderId="0" xfId="0" applyFont="1" applyFill="1" applyProtection="1">
      <protection locked="0" hidden="1"/>
    </xf>
    <xf numFmtId="0" fontId="0" fillId="6" borderId="0" xfId="0" applyFill="1" applyProtection="1">
      <protection locked="0"/>
    </xf>
    <xf numFmtId="0" fontId="11" fillId="6" borderId="118" xfId="0" applyFont="1" applyFill="1" applyBorder="1" applyProtection="1">
      <protection locked="0" hidden="1"/>
    </xf>
    <xf numFmtId="0" fontId="0" fillId="6" borderId="118" xfId="0" applyFill="1" applyBorder="1" applyProtection="1">
      <protection locked="0" hidden="1"/>
    </xf>
    <xf numFmtId="9" fontId="15" fillId="0" borderId="11" xfId="0" applyNumberFormat="1" applyFont="1" applyBorder="1" applyAlignment="1" applyProtection="1">
      <alignment horizontal="center"/>
      <protection hidden="1"/>
    </xf>
    <xf numFmtId="9" fontId="0" fillId="0" borderId="11" xfId="0" applyNumberFormat="1" applyBorder="1" applyAlignment="1" applyProtection="1">
      <alignment horizontal="center"/>
      <protection hidden="1"/>
    </xf>
    <xf numFmtId="0" fontId="11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11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21" fillId="2" borderId="14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Alignment="1" applyProtection="1">
      <alignment horizontal="center"/>
      <protection hidden="1"/>
    </xf>
    <xf numFmtId="0" fontId="26" fillId="0" borderId="20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26" fillId="0" borderId="52" xfId="0" applyFont="1" applyBorder="1" applyAlignment="1" applyProtection="1">
      <alignment horizontal="center" vertical="center" wrapText="1"/>
      <protection hidden="1"/>
    </xf>
    <xf numFmtId="0" fontId="15" fillId="0" borderId="93" xfId="0" applyFont="1" applyBorder="1" applyAlignment="1" applyProtection="1">
      <alignment horizontal="center" vertical="center" wrapText="1"/>
      <protection hidden="1"/>
    </xf>
    <xf numFmtId="0" fontId="15" fillId="0" borderId="10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0" fontId="11" fillId="0" borderId="11" xfId="0" applyFont="1" applyBorder="1" applyProtection="1">
      <protection hidden="1"/>
    </xf>
    <xf numFmtId="0" fontId="11" fillId="0" borderId="91" xfId="0" applyFont="1" applyBorder="1" applyAlignment="1" applyProtection="1">
      <alignment vertical="center" wrapText="1"/>
      <protection hidden="1"/>
    </xf>
    <xf numFmtId="0" fontId="0" fillId="0" borderId="92" xfId="0" applyBorder="1"/>
    <xf numFmtId="0" fontId="11" fillId="5" borderId="115" xfId="0" applyFont="1" applyFill="1" applyBorder="1" applyAlignment="1" applyProtection="1">
      <alignment vertical="center"/>
      <protection locked="0" hidden="1"/>
    </xf>
    <xf numFmtId="0" fontId="11" fillId="5" borderId="116" xfId="0" applyFont="1" applyFill="1" applyBorder="1" applyAlignment="1" applyProtection="1">
      <alignment vertical="center"/>
      <protection locked="0" hidden="1"/>
    </xf>
    <xf numFmtId="0" fontId="11" fillId="0" borderId="88" xfId="0" applyFont="1" applyBorder="1" applyAlignment="1" applyProtection="1">
      <alignment horizontal="right" vertical="center" wrapText="1"/>
      <protection hidden="1"/>
    </xf>
    <xf numFmtId="0" fontId="11" fillId="0" borderId="128" xfId="0" applyFont="1" applyBorder="1" applyAlignment="1" applyProtection="1">
      <alignment vertical="center" wrapText="1"/>
      <protection hidden="1"/>
    </xf>
    <xf numFmtId="0" fontId="0" fillId="0" borderId="7" xfId="0" applyBorder="1"/>
    <xf numFmtId="0" fontId="11" fillId="5" borderId="55" xfId="0" applyFont="1" applyFill="1" applyBorder="1" applyAlignment="1" applyProtection="1">
      <alignment horizontal="left" vertical="center"/>
      <protection locked="0" hidden="1"/>
    </xf>
    <xf numFmtId="0" fontId="11" fillId="5" borderId="129" xfId="0" applyFont="1" applyFill="1" applyBorder="1" applyAlignment="1" applyProtection="1">
      <alignment horizontal="left" vertical="center"/>
      <protection locked="0" hidden="1"/>
    </xf>
    <xf numFmtId="0" fontId="4" fillId="0" borderId="92" xfId="0" applyFont="1" applyBorder="1" applyAlignment="1">
      <alignment vertical="center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vertical="center" wrapText="1"/>
      <protection hidden="1"/>
    </xf>
    <xf numFmtId="0" fontId="1" fillId="0" borderId="92" xfId="0" applyFont="1" applyBorder="1"/>
    <xf numFmtId="0" fontId="11" fillId="5" borderId="115" xfId="0" applyFont="1" applyFill="1" applyBorder="1" applyAlignment="1" applyProtection="1">
      <alignment vertical="center" wrapText="1"/>
      <protection locked="0" hidden="1"/>
    </xf>
    <xf numFmtId="0" fontId="27" fillId="5" borderId="116" xfId="0" applyFont="1" applyFill="1" applyBorder="1" applyAlignment="1" applyProtection="1">
      <alignment vertical="center" wrapText="1"/>
      <protection locked="0" hidden="1"/>
    </xf>
    <xf numFmtId="0" fontId="11" fillId="5" borderId="55" xfId="0" applyFont="1" applyFill="1" applyBorder="1" applyAlignment="1" applyProtection="1">
      <alignment vertical="center" wrapText="1"/>
      <protection locked="0" hidden="1"/>
    </xf>
    <xf numFmtId="0" fontId="11" fillId="5" borderId="55" xfId="0" applyFont="1" applyFill="1" applyBorder="1" applyProtection="1">
      <protection locked="0" hidden="1"/>
    </xf>
    <xf numFmtId="0" fontId="11" fillId="5" borderId="124" xfId="0" applyFont="1" applyFill="1" applyBorder="1" applyProtection="1">
      <protection locked="0" hidden="1"/>
    </xf>
    <xf numFmtId="0" fontId="11" fillId="0" borderId="125" xfId="0" applyFont="1" applyBorder="1" applyAlignment="1" applyProtection="1">
      <alignment horizontal="right" vertical="center" wrapText="1"/>
      <protection hidden="1"/>
    </xf>
    <xf numFmtId="49" fontId="15" fillId="5" borderId="126" xfId="0" applyNumberFormat="1" applyFont="1" applyFill="1" applyBorder="1" applyAlignment="1" applyProtection="1">
      <alignment horizontal="center" vertical="center"/>
      <protection locked="0" hidden="1"/>
    </xf>
    <xf numFmtId="49" fontId="15" fillId="5" borderId="127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11" fillId="5" borderId="92" xfId="0" applyFont="1" applyFill="1" applyBorder="1" applyAlignment="1" applyProtection="1">
      <alignment vertical="center" wrapText="1"/>
      <protection locked="0" hidden="1"/>
    </xf>
    <xf numFmtId="0" fontId="11" fillId="5" borderId="92" xfId="0" applyFont="1" applyFill="1" applyBorder="1" applyProtection="1">
      <protection locked="0" hidden="1"/>
    </xf>
    <xf numFmtId="0" fontId="11" fillId="5" borderId="90" xfId="0" applyFont="1" applyFill="1" applyBorder="1" applyProtection="1">
      <protection locked="0"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1" fillId="5" borderId="124" xfId="0" applyFont="1" applyFill="1" applyBorder="1" applyAlignment="1" applyProtection="1">
      <alignment horizontal="left" vertical="center"/>
      <protection locked="0" hidden="1"/>
    </xf>
    <xf numFmtId="0" fontId="26" fillId="0" borderId="47" xfId="0" applyFont="1" applyBorder="1" applyAlignment="1" applyProtection="1">
      <alignment horizontal="center" vertical="center" wrapText="1"/>
      <protection hidden="1"/>
    </xf>
    <xf numFmtId="0" fontId="26" fillId="0" borderId="26" xfId="0" applyFont="1" applyBorder="1" applyAlignment="1" applyProtection="1">
      <alignment horizontal="center" vertical="center" wrapText="1"/>
      <protection hidden="1"/>
    </xf>
    <xf numFmtId="0" fontId="93" fillId="0" borderId="0" xfId="0" applyFont="1" applyAlignment="1" applyProtection="1">
      <alignment horizontal="right"/>
      <protection hidden="1"/>
    </xf>
    <xf numFmtId="0" fontId="75" fillId="0" borderId="19" xfId="0" applyFont="1" applyBorder="1" applyAlignment="1" applyProtection="1">
      <alignment horizontal="center" vertical="center" textRotation="90"/>
      <protection hidden="1"/>
    </xf>
    <xf numFmtId="0" fontId="75" fillId="0" borderId="5" xfId="0" applyFont="1" applyBorder="1" applyAlignment="1">
      <alignment horizontal="center" textRotation="90"/>
    </xf>
    <xf numFmtId="0" fontId="75" fillId="0" borderId="27" xfId="0" applyFont="1" applyBorder="1" applyAlignment="1">
      <alignment horizontal="center" textRotation="90"/>
    </xf>
    <xf numFmtId="0" fontId="11" fillId="0" borderId="117" xfId="0" applyFont="1" applyBorder="1" applyAlignment="1" applyProtection="1">
      <alignment horizontal="left" wrapText="1"/>
      <protection hidden="1"/>
    </xf>
    <xf numFmtId="0" fontId="0" fillId="0" borderId="118" xfId="0" applyBorder="1"/>
    <xf numFmtId="0" fontId="11" fillId="5" borderId="119" xfId="0" applyFont="1" applyFill="1" applyBorder="1" applyAlignment="1" applyProtection="1">
      <alignment vertical="center"/>
      <protection locked="0" hidden="1"/>
    </xf>
    <xf numFmtId="0" fontId="11" fillId="5" borderId="120" xfId="0" applyFont="1" applyFill="1" applyBorder="1" applyAlignment="1" applyProtection="1">
      <alignment vertical="center"/>
      <protection locked="0" hidden="1"/>
    </xf>
    <xf numFmtId="0" fontId="11" fillId="5" borderId="117" xfId="0" applyFont="1" applyFill="1" applyBorder="1" applyAlignment="1" applyProtection="1">
      <alignment vertical="center"/>
      <protection locked="0" hidden="1"/>
    </xf>
    <xf numFmtId="0" fontId="4" fillId="0" borderId="121" xfId="0" applyFont="1" applyBorder="1" applyAlignment="1">
      <alignment vertical="center"/>
    </xf>
    <xf numFmtId="0" fontId="4" fillId="0" borderId="121" xfId="0" applyFont="1" applyBorder="1"/>
    <xf numFmtId="0" fontId="46" fillId="5" borderId="121" xfId="0" applyFont="1" applyFill="1" applyBorder="1" applyAlignment="1" applyProtection="1">
      <alignment horizontal="center" vertical="center"/>
      <protection locked="0" hidden="1"/>
    </xf>
    <xf numFmtId="0" fontId="46" fillId="5" borderId="122" xfId="0" applyFont="1" applyFill="1" applyBorder="1" applyAlignment="1" applyProtection="1">
      <alignment horizontal="center" vertical="center"/>
      <protection locked="0" hidden="1"/>
    </xf>
    <xf numFmtId="0" fontId="4" fillId="0" borderId="55" xfId="0" applyFont="1" applyBorder="1" applyAlignment="1" applyProtection="1">
      <alignment vertical="center"/>
      <protection hidden="1"/>
    </xf>
    <xf numFmtId="0" fontId="11" fillId="5" borderId="121" xfId="0" applyFont="1" applyFill="1" applyBorder="1" applyAlignment="1" applyProtection="1">
      <alignment vertical="center" wrapText="1"/>
      <protection locked="0" hidden="1"/>
    </xf>
    <xf numFmtId="0" fontId="0" fillId="5" borderId="121" xfId="0" applyFill="1" applyBorder="1" applyAlignment="1" applyProtection="1">
      <alignment vertical="center"/>
      <protection locked="0" hidden="1"/>
    </xf>
    <xf numFmtId="0" fontId="0" fillId="5" borderId="122" xfId="0" applyFill="1" applyBorder="1" applyAlignment="1" applyProtection="1">
      <alignment vertical="center"/>
      <protection locked="0" hidden="1"/>
    </xf>
    <xf numFmtId="0" fontId="11" fillId="0" borderId="5" xfId="0" applyFont="1" applyBorder="1" applyAlignment="1" applyProtection="1">
      <alignment vertical="center" wrapText="1"/>
      <protection hidden="1"/>
    </xf>
    <xf numFmtId="0" fontId="0" fillId="0" borderId="123" xfId="0" applyBorder="1" applyAlignment="1">
      <alignment vertical="center"/>
    </xf>
    <xf numFmtId="0" fontId="11" fillId="5" borderId="92" xfId="0" applyFont="1" applyFill="1" applyBorder="1" applyAlignment="1" applyProtection="1">
      <alignment horizontal="center" vertical="center"/>
      <protection locked="0" hidden="1"/>
    </xf>
    <xf numFmtId="0" fontId="11" fillId="5" borderId="90" xfId="0" applyFont="1" applyFill="1" applyBorder="1" applyAlignment="1" applyProtection="1">
      <alignment horizontal="center" vertical="center"/>
      <protection locked="0" hidden="1"/>
    </xf>
    <xf numFmtId="0" fontId="4" fillId="0" borderId="131" xfId="0" applyFont="1" applyBorder="1" applyAlignment="1" applyProtection="1">
      <alignment horizontal="center" textRotation="90" wrapText="1"/>
      <protection hidden="1"/>
    </xf>
    <xf numFmtId="0" fontId="4" fillId="0" borderId="87" xfId="0" applyFont="1" applyBorder="1" applyAlignment="1" applyProtection="1">
      <alignment horizontal="center" textRotation="90" wrapText="1"/>
      <protection hidden="1"/>
    </xf>
    <xf numFmtId="0" fontId="4" fillId="0" borderId="14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139" xfId="0" applyFont="1" applyBorder="1" applyAlignment="1" applyProtection="1">
      <alignment horizontal="center" textRotation="90" wrapText="1"/>
      <protection hidden="1"/>
    </xf>
    <xf numFmtId="0" fontId="4" fillId="0" borderId="102" xfId="0" applyFont="1" applyBorder="1" applyAlignment="1" applyProtection="1">
      <alignment horizontal="center" textRotation="90" wrapText="1"/>
      <protection hidden="1"/>
    </xf>
    <xf numFmtId="0" fontId="16" fillId="2" borderId="132" xfId="0" applyFont="1" applyFill="1" applyBorder="1" applyAlignment="1" applyProtection="1">
      <alignment horizontal="center"/>
      <protection hidden="1"/>
    </xf>
    <xf numFmtId="0" fontId="16" fillId="2" borderId="134" xfId="0" applyFont="1" applyFill="1" applyBorder="1" applyAlignment="1" applyProtection="1">
      <alignment horizontal="center"/>
      <protection hidden="1"/>
    </xf>
    <xf numFmtId="0" fontId="15" fillId="0" borderId="95" xfId="0" applyFont="1" applyBorder="1" applyAlignment="1" applyProtection="1">
      <alignment horizontal="center" wrapText="1"/>
      <protection hidden="1"/>
    </xf>
    <xf numFmtId="0" fontId="15" fillId="0" borderId="98" xfId="0" applyFont="1" applyBorder="1" applyAlignment="1" applyProtection="1">
      <alignment horizontal="center" wrapText="1"/>
      <protection hidden="1"/>
    </xf>
    <xf numFmtId="0" fontId="15" fillId="0" borderId="136" xfId="0" applyFont="1" applyBorder="1" applyAlignment="1" applyProtection="1">
      <alignment horizontal="center" wrapText="1"/>
      <protection hidden="1"/>
    </xf>
    <xf numFmtId="0" fontId="15" fillId="0" borderId="138" xfId="0" applyFont="1" applyBorder="1" applyAlignment="1">
      <alignment horizontal="center" wrapText="1"/>
    </xf>
    <xf numFmtId="0" fontId="4" fillId="0" borderId="135" xfId="0" applyFont="1" applyBorder="1" applyAlignment="1" applyProtection="1">
      <alignment horizontal="center" textRotation="90" wrapText="1"/>
      <protection hidden="1"/>
    </xf>
    <xf numFmtId="0" fontId="4" fillId="0" borderId="114" xfId="0" applyFont="1" applyBorder="1" applyAlignment="1" applyProtection="1">
      <alignment horizontal="center" textRotation="90" wrapText="1"/>
      <protection hidden="1"/>
    </xf>
    <xf numFmtId="0" fontId="15" fillId="0" borderId="135" xfId="0" applyFont="1" applyBorder="1" applyAlignment="1" applyProtection="1">
      <alignment horizontal="center" wrapText="1"/>
      <protection hidden="1"/>
    </xf>
    <xf numFmtId="0" fontId="15" fillId="0" borderId="114" xfId="0" applyFont="1" applyBorder="1" applyAlignment="1">
      <alignment horizontal="center" wrapText="1"/>
    </xf>
    <xf numFmtId="0" fontId="15" fillId="0" borderId="145" xfId="0" applyFont="1" applyBorder="1" applyAlignment="1" applyProtection="1">
      <alignment horizontal="center" wrapText="1"/>
      <protection hidden="1"/>
    </xf>
    <xf numFmtId="0" fontId="15" fillId="0" borderId="100" xfId="0" applyFont="1" applyBorder="1" applyAlignment="1" applyProtection="1">
      <alignment horizontal="center" wrapText="1"/>
      <protection hidden="1"/>
    </xf>
    <xf numFmtId="0" fontId="4" fillId="0" borderId="106" xfId="0" applyFont="1" applyBorder="1" applyAlignment="1" applyProtection="1">
      <alignment horizontal="center" textRotation="90" wrapText="1"/>
      <protection hidden="1"/>
    </xf>
    <xf numFmtId="0" fontId="0" fillId="0" borderId="108" xfId="0" applyBorder="1" applyAlignment="1">
      <alignment horizontal="center" textRotation="90" wrapText="1"/>
    </xf>
    <xf numFmtId="0" fontId="16" fillId="0" borderId="144" xfId="0" applyFont="1" applyBorder="1" applyAlignment="1" applyProtection="1">
      <alignment horizontal="center"/>
      <protection hidden="1"/>
    </xf>
    <xf numFmtId="0" fontId="0" fillId="0" borderId="102" xfId="0" applyBorder="1" applyAlignment="1" applyProtection="1">
      <alignment horizontal="center"/>
      <protection hidden="1"/>
    </xf>
    <xf numFmtId="0" fontId="25" fillId="0" borderId="19" xfId="0" applyFont="1" applyBorder="1" applyAlignment="1" applyProtection="1">
      <alignment horizontal="left" wrapText="1"/>
      <protection hidden="1"/>
    </xf>
    <xf numFmtId="0" fontId="10" fillId="0" borderId="20" xfId="0" applyFont="1" applyBorder="1" applyAlignment="1" applyProtection="1">
      <alignment horizontal="left" wrapText="1"/>
      <protection hidden="1"/>
    </xf>
    <xf numFmtId="0" fontId="10" fillId="0" borderId="93" xfId="0" applyFont="1" applyBorder="1" applyAlignment="1" applyProtection="1">
      <alignment horizontal="left" wrapText="1"/>
      <protection hidden="1"/>
    </xf>
    <xf numFmtId="0" fontId="10" fillId="0" borderId="24" xfId="0" applyFont="1" applyBorder="1" applyAlignment="1" applyProtection="1">
      <alignment horizontal="left" wrapText="1"/>
      <protection hidden="1"/>
    </xf>
    <xf numFmtId="0" fontId="10" fillId="0" borderId="2" xfId="0" applyFont="1" applyBorder="1" applyAlignment="1" applyProtection="1">
      <alignment horizontal="left" wrapText="1"/>
      <protection hidden="1"/>
    </xf>
    <xf numFmtId="0" fontId="10" fillId="0" borderId="41" xfId="0" applyFont="1" applyBorder="1" applyAlignment="1" applyProtection="1">
      <alignment horizontal="left" wrapText="1"/>
      <protection hidden="1"/>
    </xf>
    <xf numFmtId="0" fontId="95" fillId="0" borderId="0" xfId="0" applyFont="1" applyAlignment="1" applyProtection="1">
      <alignment textRotation="90" wrapText="1"/>
      <protection hidden="1"/>
    </xf>
    <xf numFmtId="0" fontId="16" fillId="0" borderId="105" xfId="0" applyFon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100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left"/>
      <protection hidden="1"/>
    </xf>
    <xf numFmtId="0" fontId="11" fillId="0" borderId="11" xfId="0" applyFont="1" applyBorder="1" applyAlignment="1" applyProtection="1">
      <alignment horizontal="left"/>
      <protection hidden="1"/>
    </xf>
    <xf numFmtId="0" fontId="15" fillId="3" borderId="10" xfId="0" applyFont="1" applyFill="1" applyBorder="1" applyProtection="1">
      <protection hidden="1"/>
    </xf>
    <xf numFmtId="0" fontId="15" fillId="3" borderId="11" xfId="0" applyFont="1" applyFill="1" applyBorder="1" applyProtection="1">
      <protection hidden="1"/>
    </xf>
    <xf numFmtId="0" fontId="16" fillId="0" borderId="33" xfId="0" applyFont="1" applyBorder="1" applyAlignment="1" applyProtection="1">
      <alignment horizontal="center"/>
      <protection hidden="1"/>
    </xf>
    <xf numFmtId="0" fontId="0" fillId="0" borderId="87" xfId="0" applyBorder="1" applyAlignment="1" applyProtection="1">
      <alignment horizontal="center"/>
      <protection hidden="1"/>
    </xf>
    <xf numFmtId="0" fontId="16" fillId="0" borderId="132" xfId="0" applyFont="1" applyBorder="1" applyAlignment="1" applyProtection="1">
      <alignment horizontal="center"/>
      <protection hidden="1"/>
    </xf>
    <xf numFmtId="0" fontId="0" fillId="0" borderId="133" xfId="0" applyBorder="1" applyAlignment="1" applyProtection="1">
      <alignment horizontal="center"/>
      <protection hidden="1"/>
    </xf>
    <xf numFmtId="0" fontId="0" fillId="0" borderId="134" xfId="0" applyBorder="1" applyAlignment="1" applyProtection="1">
      <alignment horizontal="center"/>
      <protection hidden="1"/>
    </xf>
    <xf numFmtId="0" fontId="21" fillId="0" borderId="5" xfId="0" applyFont="1" applyBorder="1" applyAlignment="1" applyProtection="1">
      <alignment textRotation="90" wrapText="1"/>
      <protection hidden="1"/>
    </xf>
    <xf numFmtId="0" fontId="76" fillId="0" borderId="5" xfId="0" applyFont="1" applyBorder="1" applyAlignment="1" applyProtection="1">
      <alignment textRotation="90" wrapText="1"/>
      <protection hidden="1"/>
    </xf>
    <xf numFmtId="0" fontId="15" fillId="0" borderId="146" xfId="0" applyFont="1" applyBorder="1" applyAlignment="1" applyProtection="1">
      <alignment horizontal="center" wrapText="1"/>
      <protection hidden="1"/>
    </xf>
    <xf numFmtId="0" fontId="4" fillId="0" borderId="132" xfId="0" applyFont="1" applyBorder="1" applyAlignment="1" applyProtection="1">
      <alignment horizontal="center" textRotation="90" wrapText="1"/>
      <protection hidden="1"/>
    </xf>
    <xf numFmtId="0" fontId="4" fillId="0" borderId="134" xfId="0" applyFont="1" applyBorder="1" applyAlignment="1" applyProtection="1">
      <alignment horizontal="center" textRotation="90" wrapText="1"/>
      <protection hidden="1"/>
    </xf>
    <xf numFmtId="0" fontId="4" fillId="2" borderId="131" xfId="0" applyFont="1" applyFill="1" applyBorder="1" applyAlignment="1" applyProtection="1">
      <alignment horizontal="center" textRotation="90" wrapText="1"/>
      <protection hidden="1"/>
    </xf>
    <xf numFmtId="0" fontId="4" fillId="2" borderId="36" xfId="0" applyFont="1" applyFill="1" applyBorder="1" applyAlignment="1" applyProtection="1">
      <alignment horizontal="center" textRotation="90"/>
      <protection hidden="1"/>
    </xf>
    <xf numFmtId="0" fontId="26" fillId="0" borderId="49" xfId="0" applyFont="1" applyBorder="1" applyAlignment="1" applyProtection="1">
      <alignment horizontal="left" vertical="top" wrapText="1"/>
      <protection hidden="1"/>
    </xf>
    <xf numFmtId="0" fontId="26" fillId="0" borderId="50" xfId="0" applyFont="1" applyBorder="1" applyAlignment="1" applyProtection="1">
      <alignment horizontal="left" vertical="top" wrapText="1"/>
      <protection hidden="1"/>
    </xf>
    <xf numFmtId="0" fontId="11" fillId="0" borderId="9" xfId="0" applyFont="1" applyBorder="1" applyAlignment="1" applyProtection="1">
      <alignment horizontal="right" vertical="center" wrapText="1"/>
      <protection hidden="1"/>
    </xf>
    <xf numFmtId="0" fontId="11" fillId="0" borderId="15" xfId="0" applyFont="1" applyBorder="1" applyAlignment="1" applyProtection="1">
      <alignment horizontal="left"/>
      <protection hidden="1"/>
    </xf>
    <xf numFmtId="0" fontId="11" fillId="0" borderId="16" xfId="0" applyFont="1" applyBorder="1" applyAlignment="1" applyProtection="1">
      <alignment horizontal="left"/>
      <protection hidden="1"/>
    </xf>
    <xf numFmtId="0" fontId="11" fillId="0" borderId="97" xfId="0" applyFont="1" applyBorder="1" applyAlignment="1" applyProtection="1">
      <alignment horizontal="left"/>
      <protection hidden="1"/>
    </xf>
    <xf numFmtId="0" fontId="11" fillId="0" borderId="21" xfId="0" applyFont="1" applyBorder="1" applyAlignment="1" applyProtection="1">
      <alignment horizontal="left"/>
      <protection hidden="1"/>
    </xf>
    <xf numFmtId="0" fontId="11" fillId="3" borderId="10" xfId="0" applyFont="1" applyFill="1" applyBorder="1" applyProtection="1">
      <protection hidden="1"/>
    </xf>
    <xf numFmtId="0" fontId="11" fillId="3" borderId="11" xfId="0" applyFont="1" applyFill="1" applyBorder="1" applyProtection="1">
      <protection hidden="1"/>
    </xf>
    <xf numFmtId="0" fontId="4" fillId="2" borderId="87" xfId="0" applyFont="1" applyFill="1" applyBorder="1" applyAlignment="1" applyProtection="1">
      <alignment horizontal="center" textRotation="90"/>
      <protection hidden="1"/>
    </xf>
    <xf numFmtId="0" fontId="11" fillId="0" borderId="15" xfId="0" applyFont="1" applyBorder="1" applyAlignment="1" applyProtection="1">
      <alignment vertical="center" wrapText="1"/>
      <protection hidden="1"/>
    </xf>
    <xf numFmtId="0" fontId="11" fillId="0" borderId="16" xfId="0" applyFont="1" applyBorder="1" applyAlignment="1" applyProtection="1">
      <alignment vertical="center" wrapText="1"/>
      <protection hidden="1"/>
    </xf>
    <xf numFmtId="0" fontId="11" fillId="0" borderId="11" xfId="0" applyFont="1" applyBorder="1" applyAlignment="1" applyProtection="1">
      <alignment horizontal="right"/>
      <protection hidden="1"/>
    </xf>
    <xf numFmtId="0" fontId="11" fillId="0" borderId="11" xfId="0" applyFont="1" applyBorder="1" applyAlignment="1" applyProtection="1">
      <alignment horizontal="right" vertical="center" wrapText="1"/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>
      <protection hidden="1"/>
    </xf>
    <xf numFmtId="0" fontId="4" fillId="0" borderId="140" xfId="0" applyFont="1" applyBorder="1" applyAlignment="1" applyProtection="1">
      <alignment horizontal="center" textRotation="90" wrapText="1"/>
      <protection hidden="1"/>
    </xf>
    <xf numFmtId="0" fontId="25" fillId="0" borderId="20" xfId="0" applyFont="1" applyBorder="1" applyAlignment="1" applyProtection="1">
      <alignment horizontal="left" wrapText="1"/>
      <protection hidden="1"/>
    </xf>
    <xf numFmtId="0" fontId="25" fillId="0" borderId="5" xfId="0" applyFont="1" applyBorder="1" applyAlignment="1" applyProtection="1">
      <alignment horizontal="left" wrapText="1"/>
      <protection hidden="1"/>
    </xf>
    <xf numFmtId="0" fontId="25" fillId="0" borderId="0" xfId="0" applyFont="1" applyBorder="1" applyAlignment="1" applyProtection="1">
      <alignment horizontal="left" wrapText="1"/>
      <protection hidden="1"/>
    </xf>
    <xf numFmtId="0" fontId="25" fillId="0" borderId="27" xfId="0" applyFont="1" applyBorder="1" applyAlignment="1" applyProtection="1">
      <alignment horizontal="left" wrapText="1"/>
      <protection hidden="1"/>
    </xf>
    <xf numFmtId="0" fontId="25" fillId="0" borderId="7" xfId="0" applyFont="1" applyBorder="1" applyAlignment="1" applyProtection="1">
      <alignment horizontal="left" wrapText="1"/>
      <protection hidden="1"/>
    </xf>
    <xf numFmtId="0" fontId="78" fillId="0" borderId="7" xfId="0" applyFont="1" applyBorder="1" applyAlignment="1" applyProtection="1">
      <alignment horizontal="right" wrapText="1"/>
      <protection hidden="1"/>
    </xf>
    <xf numFmtId="0" fontId="78" fillId="0" borderId="82" xfId="0" applyFont="1" applyBorder="1" applyAlignment="1" applyProtection="1">
      <alignment horizontal="right" wrapText="1"/>
      <protection hidden="1"/>
    </xf>
    <xf numFmtId="0" fontId="4" fillId="0" borderId="141" xfId="0" applyFont="1" applyBorder="1" applyAlignment="1" applyProtection="1">
      <alignment horizontal="center" wrapText="1"/>
      <protection hidden="1"/>
    </xf>
    <xf numFmtId="0" fontId="4" fillId="0" borderId="142" xfId="0" applyFont="1" applyBorder="1" applyAlignment="1" applyProtection="1">
      <alignment horizontal="center" wrapText="1"/>
      <protection hidden="1"/>
    </xf>
    <xf numFmtId="0" fontId="4" fillId="0" borderId="143" xfId="0" applyFont="1" applyBorder="1" applyAlignment="1" applyProtection="1">
      <alignment horizontal="center" wrapText="1"/>
      <protection hidden="1"/>
    </xf>
    <xf numFmtId="0" fontId="14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8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11" fillId="0" borderId="21" xfId="0" applyFont="1" applyBorder="1" applyProtection="1">
      <protection hidden="1"/>
    </xf>
    <xf numFmtId="0" fontId="0" fillId="0" borderId="21" xfId="0" applyBorder="1" applyProtection="1">
      <protection hidden="1"/>
    </xf>
    <xf numFmtId="0" fontId="48" fillId="0" borderId="118" xfId="0" applyFont="1" applyBorder="1" applyAlignment="1" applyProtection="1">
      <alignment horizontal="left"/>
      <protection hidden="1"/>
    </xf>
    <xf numFmtId="0" fontId="3" fillId="0" borderId="118" xfId="0" applyFont="1" applyBorder="1" applyAlignment="1" applyProtection="1">
      <alignment horizontal="left" wrapText="1"/>
      <protection hidden="1"/>
    </xf>
    <xf numFmtId="0" fontId="3" fillId="0" borderId="13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3" fillId="0" borderId="92" xfId="0" applyFont="1" applyBorder="1" applyAlignment="1" applyProtection="1">
      <alignment horizontal="left" wrapText="1"/>
      <protection hidden="1"/>
    </xf>
    <xf numFmtId="0" fontId="4" fillId="0" borderId="36" xfId="0" applyFont="1" applyBorder="1" applyAlignment="1" applyProtection="1">
      <alignment horizontal="center" textRotation="90" wrapText="1"/>
      <protection hidden="1"/>
    </xf>
    <xf numFmtId="0" fontId="4" fillId="0" borderId="133" xfId="0" applyFont="1" applyBorder="1" applyAlignment="1" applyProtection="1">
      <alignment horizontal="center" textRotation="90" wrapText="1"/>
      <protection hidden="1"/>
    </xf>
    <xf numFmtId="0" fontId="4" fillId="0" borderId="109" xfId="0" applyFont="1" applyBorder="1" applyAlignment="1" applyProtection="1">
      <alignment horizontal="center" textRotation="90" wrapText="1"/>
      <protection hidden="1"/>
    </xf>
    <xf numFmtId="14" fontId="3" fillId="0" borderId="92" xfId="0" applyNumberFormat="1" applyFont="1" applyBorder="1" applyAlignment="1" applyProtection="1">
      <alignment horizontal="left"/>
      <protection hidden="1"/>
    </xf>
    <xf numFmtId="0" fontId="15" fillId="0" borderId="103" xfId="0" applyFont="1" applyBorder="1" applyAlignment="1" applyProtection="1">
      <alignment horizontal="center" wrapText="1"/>
      <protection hidden="1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137" xfId="0" applyFont="1" applyBorder="1" applyAlignment="1">
      <alignment horizontal="center" wrapText="1"/>
    </xf>
    <xf numFmtId="0" fontId="11" fillId="0" borderId="138" xfId="0" applyFont="1" applyBorder="1" applyAlignment="1">
      <alignment horizontal="center" wrapText="1"/>
    </xf>
    <xf numFmtId="0" fontId="11" fillId="0" borderId="20" xfId="0" applyFont="1" applyBorder="1" applyAlignment="1" applyProtection="1">
      <alignment horizontal="center" textRotation="90" wrapText="1"/>
      <protection hidden="1"/>
    </xf>
    <xf numFmtId="0" fontId="11" fillId="0" borderId="0" xfId="0" applyFont="1" applyBorder="1" applyAlignment="1" applyProtection="1">
      <alignment horizontal="center" textRotation="90" wrapText="1"/>
      <protection hidden="1"/>
    </xf>
    <xf numFmtId="0" fontId="11" fillId="0" borderId="7" xfId="0" applyFont="1" applyBorder="1" applyAlignment="1" applyProtection="1">
      <alignment horizontal="center" textRotation="90" wrapText="1"/>
      <protection hidden="1"/>
    </xf>
    <xf numFmtId="0" fontId="26" fillId="0" borderId="49" xfId="0" applyFont="1" applyBorder="1" applyAlignment="1" applyProtection="1">
      <alignment vertical="center"/>
      <protection hidden="1"/>
    </xf>
    <xf numFmtId="0" fontId="26" fillId="0" borderId="50" xfId="0" applyFont="1" applyBorder="1" applyAlignment="1" applyProtection="1">
      <alignment vertical="center"/>
      <protection hidden="1"/>
    </xf>
    <xf numFmtId="0" fontId="0" fillId="0" borderId="50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1" xfId="0" applyBorder="1" applyProtection="1">
      <protection hidden="1"/>
    </xf>
    <xf numFmtId="0" fontId="5" fillId="0" borderId="50" xfId="0" applyFont="1" applyBorder="1" applyAlignment="1" applyProtection="1">
      <alignment horizontal="center" textRotation="90" wrapText="1"/>
      <protection hidden="1"/>
    </xf>
    <xf numFmtId="0" fontId="0" fillId="0" borderId="50" xfId="0" applyBorder="1" applyAlignment="1" applyProtection="1">
      <alignment horizontal="center" textRotation="90" wrapText="1"/>
      <protection hidden="1"/>
    </xf>
    <xf numFmtId="0" fontId="0" fillId="0" borderId="51" xfId="0" applyBorder="1" applyAlignment="1" applyProtection="1">
      <alignment horizontal="center" textRotation="90" wrapText="1"/>
      <protection hidden="1"/>
    </xf>
    <xf numFmtId="0" fontId="0" fillId="0" borderId="20" xfId="0" applyBorder="1" applyAlignment="1" applyProtection="1">
      <alignment horizontal="center" textRotation="90" wrapText="1"/>
      <protection hidden="1"/>
    </xf>
    <xf numFmtId="0" fontId="0" fillId="0" borderId="29" xfId="0" applyBorder="1" applyAlignment="1" applyProtection="1">
      <alignment horizontal="center" textRotation="90" wrapText="1"/>
      <protection hidden="1"/>
    </xf>
    <xf numFmtId="0" fontId="0" fillId="0" borderId="0" xfId="0" applyAlignment="1" applyProtection="1">
      <alignment horizontal="center" textRotation="90" wrapText="1"/>
      <protection hidden="1"/>
    </xf>
    <xf numFmtId="0" fontId="0" fillId="0" borderId="4" xfId="0" applyBorder="1" applyAlignment="1" applyProtection="1">
      <alignment horizontal="center" textRotation="90" wrapText="1"/>
      <protection hidden="1"/>
    </xf>
    <xf numFmtId="0" fontId="0" fillId="0" borderId="7" xfId="0" applyBorder="1" applyAlignment="1" applyProtection="1">
      <alignment horizontal="center" textRotation="90" wrapText="1"/>
      <protection hidden="1"/>
    </xf>
    <xf numFmtId="0" fontId="0" fillId="0" borderId="31" xfId="0" applyBorder="1" applyAlignment="1" applyProtection="1">
      <alignment horizontal="center" textRotation="90" wrapText="1"/>
      <protection hidden="1"/>
    </xf>
    <xf numFmtId="0" fontId="25" fillId="0" borderId="49" xfId="0" applyFont="1" applyBorder="1" applyAlignment="1" applyProtection="1">
      <alignment horizontal="left"/>
      <protection hidden="1"/>
    </xf>
    <xf numFmtId="0" fontId="25" fillId="0" borderId="50" xfId="0" applyFont="1" applyBorder="1" applyAlignment="1" applyProtection="1">
      <alignment horizontal="left"/>
      <protection hidden="1"/>
    </xf>
    <xf numFmtId="0" fontId="11" fillId="0" borderId="97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11" fillId="0" borderId="15" xfId="0" applyFont="1" applyBorder="1" applyProtection="1">
      <protection hidden="1"/>
    </xf>
    <xf numFmtId="0" fontId="11" fillId="0" borderId="16" xfId="0" applyFont="1" applyBorder="1" applyProtection="1">
      <protection hidden="1"/>
    </xf>
    <xf numFmtId="0" fontId="0" fillId="0" borderId="16" xfId="0" applyBorder="1" applyProtection="1">
      <protection hidden="1"/>
    </xf>
    <xf numFmtId="0" fontId="4" fillId="0" borderId="50" xfId="0" applyFont="1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4" fillId="0" borderId="77" xfId="0" applyFont="1" applyBorder="1" applyProtection="1">
      <protection hidden="1"/>
    </xf>
    <xf numFmtId="0" fontId="0" fillId="0" borderId="51" xfId="0" applyBorder="1" applyProtection="1">
      <protection hidden="1"/>
    </xf>
    <xf numFmtId="0" fontId="11" fillId="0" borderId="8" xfId="0" applyFont="1" applyBorder="1" applyAlignment="1" applyProtection="1">
      <alignment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4" fillId="0" borderId="50" xfId="0" applyFont="1" applyBorder="1" applyProtection="1">
      <protection hidden="1"/>
    </xf>
    <xf numFmtId="0" fontId="24" fillId="0" borderId="0" xfId="0" applyFont="1" applyProtection="1">
      <protection hidden="1"/>
    </xf>
    <xf numFmtId="14" fontId="3" fillId="0" borderId="118" xfId="0" applyNumberFormat="1" applyFont="1" applyBorder="1" applyAlignment="1" applyProtection="1">
      <alignment horizontal="left"/>
      <protection hidden="1"/>
    </xf>
    <xf numFmtId="0" fontId="29" fillId="0" borderId="9" xfId="0" applyFont="1" applyBorder="1" applyProtection="1">
      <protection hidden="1"/>
    </xf>
    <xf numFmtId="0" fontId="3" fillId="0" borderId="130" xfId="0" applyFont="1" applyBorder="1" applyAlignment="1" applyProtection="1">
      <alignment horizontal="left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60" xfId="0" applyFont="1" applyFill="1" applyBorder="1" applyAlignment="1" applyProtection="1">
      <alignment horizontal="center" vertical="center"/>
      <protection hidden="1"/>
    </xf>
    <xf numFmtId="0" fontId="11" fillId="6" borderId="14" xfId="0" applyFont="1" applyFill="1" applyBorder="1" applyAlignment="1" applyProtection="1">
      <alignment horizontal="center"/>
      <protection locked="0" hidden="1"/>
    </xf>
    <xf numFmtId="0" fontId="11" fillId="4" borderId="12" xfId="0" applyFont="1" applyFill="1" applyBorder="1" applyAlignment="1" applyProtection="1">
      <alignment horizontal="center"/>
      <protection locked="0" hidden="1"/>
    </xf>
    <xf numFmtId="0" fontId="27" fillId="0" borderId="8" xfId="0" applyFont="1" applyBorder="1" applyProtection="1">
      <protection hidden="1"/>
    </xf>
    <xf numFmtId="0" fontId="11" fillId="0" borderId="1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11" fillId="4" borderId="97" xfId="0" applyFont="1" applyFill="1" applyBorder="1" applyAlignment="1" applyProtection="1">
      <alignment horizontal="center" vertical="center"/>
      <protection locked="0" hidden="1"/>
    </xf>
    <xf numFmtId="0" fontId="11" fillId="4" borderId="96" xfId="0" applyFont="1" applyFill="1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11" fillId="6" borderId="7" xfId="0" applyFont="1" applyFill="1" applyBorder="1" applyProtection="1">
      <protection locked="0" hidden="1"/>
    </xf>
    <xf numFmtId="0" fontId="0" fillId="6" borderId="7" xfId="0" applyFill="1" applyBorder="1" applyProtection="1">
      <protection locked="0" hidden="1"/>
    </xf>
    <xf numFmtId="0" fontId="0" fillId="6" borderId="138" xfId="0" applyFill="1" applyBorder="1" applyProtection="1">
      <protection locked="0" hidden="1"/>
    </xf>
    <xf numFmtId="0" fontId="11" fillId="4" borderId="25" xfId="0" applyFont="1" applyFill="1" applyBorder="1" applyAlignment="1" applyProtection="1">
      <alignment horizontal="center"/>
      <protection locked="0" hidden="1"/>
    </xf>
    <xf numFmtId="0" fontId="11" fillId="4" borderId="46" xfId="0" applyFont="1" applyFill="1" applyBorder="1" applyAlignment="1" applyProtection="1">
      <alignment horizontal="center"/>
      <protection locked="0" hidden="1"/>
    </xf>
    <xf numFmtId="1" fontId="15" fillId="2" borderId="49" xfId="0" applyNumberFormat="1" applyFont="1" applyFill="1" applyBorder="1" applyAlignment="1" applyProtection="1">
      <alignment horizontal="center" vertical="center"/>
      <protection hidden="1"/>
    </xf>
    <xf numFmtId="1" fontId="15" fillId="2" borderId="51" xfId="0" applyNumberFormat="1" applyFont="1" applyFill="1" applyBorder="1" applyAlignment="1" applyProtection="1">
      <alignment horizontal="center" vertical="center"/>
      <protection hidden="1"/>
    </xf>
    <xf numFmtId="0" fontId="3" fillId="0" borderId="118" xfId="0" applyFont="1" applyBorder="1" applyAlignment="1" applyProtection="1">
      <alignment horizontal="left"/>
      <protection hidden="1"/>
    </xf>
    <xf numFmtId="0" fontId="27" fillId="0" borderId="16" xfId="0" applyFont="1" applyBorder="1" applyProtection="1">
      <protection hidden="1"/>
    </xf>
    <xf numFmtId="0" fontId="27" fillId="0" borderId="148" xfId="0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7" fillId="0" borderId="11" xfId="0" applyFont="1" applyBorder="1" applyProtection="1">
      <protection hidden="1"/>
    </xf>
    <xf numFmtId="0" fontId="27" fillId="0" borderId="60" xfId="0" applyFont="1" applyBorder="1" applyProtection="1">
      <protection hidden="1"/>
    </xf>
    <xf numFmtId="0" fontId="10" fillId="0" borderId="7" xfId="0" applyFont="1" applyBorder="1" applyAlignment="1" applyProtection="1">
      <alignment horizontal="left" wrapText="1"/>
      <protection hidden="1"/>
    </xf>
    <xf numFmtId="0" fontId="11" fillId="6" borderId="60" xfId="0" applyFont="1" applyFill="1" applyBorder="1" applyAlignment="1" applyProtection="1">
      <alignment horizontal="center"/>
      <protection locked="0" hidden="1"/>
    </xf>
    <xf numFmtId="0" fontId="11" fillId="4" borderId="28" xfId="0" applyFont="1" applyFill="1" applyBorder="1" applyAlignment="1" applyProtection="1">
      <alignment horizontal="center"/>
      <protection locked="0" hidden="1"/>
    </xf>
    <xf numFmtId="0" fontId="11" fillId="4" borderId="148" xfId="0" applyFont="1" applyFill="1" applyBorder="1" applyAlignment="1" applyProtection="1">
      <alignment horizontal="center"/>
      <protection locked="0" hidden="1"/>
    </xf>
    <xf numFmtId="0" fontId="11" fillId="0" borderId="21" xfId="0" applyFont="1" applyBorder="1" applyAlignment="1" applyProtection="1">
      <alignment horizontal="left" wrapText="1"/>
      <protection hidden="1"/>
    </xf>
    <xf numFmtId="0" fontId="0" fillId="0" borderId="21" xfId="0" applyBorder="1" applyAlignment="1" applyProtection="1">
      <alignment horizontal="left" wrapText="1"/>
      <protection hidden="1"/>
    </xf>
    <xf numFmtId="0" fontId="4" fillId="0" borderId="29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11" fillId="0" borderId="62" xfId="0" applyFont="1" applyBorder="1" applyAlignment="1" applyProtection="1">
      <alignment horizontal="right"/>
      <protection hidden="1"/>
    </xf>
    <xf numFmtId="0" fontId="27" fillId="4" borderId="25" xfId="0" applyFont="1" applyFill="1" applyBorder="1" applyAlignment="1" applyProtection="1">
      <alignment horizontal="center"/>
      <protection locked="0" hidden="1"/>
    </xf>
    <xf numFmtId="0" fontId="27" fillId="4" borderId="46" xfId="0" applyFont="1" applyFill="1" applyBorder="1" applyAlignment="1" applyProtection="1">
      <alignment horizontal="center"/>
      <protection locked="0" hidden="1"/>
    </xf>
    <xf numFmtId="0" fontId="11" fillId="0" borderId="63" xfId="0" applyFont="1" applyBorder="1" applyProtection="1">
      <protection hidden="1"/>
    </xf>
    <xf numFmtId="0" fontId="0" fillId="0" borderId="11" xfId="0" applyBorder="1"/>
    <xf numFmtId="0" fontId="11" fillId="4" borderId="10" xfId="0" applyFont="1" applyFill="1" applyBorder="1" applyAlignment="1" applyProtection="1">
      <alignment horizontal="center" vertical="center"/>
      <protection locked="0" hidden="1"/>
    </xf>
    <xf numFmtId="0" fontId="11" fillId="4" borderId="60" xfId="0" applyFont="1" applyFill="1" applyBorder="1" applyAlignment="1" applyProtection="1">
      <alignment horizontal="center" vertical="center"/>
      <protection locked="0" hidden="1"/>
    </xf>
    <xf numFmtId="164" fontId="11" fillId="2" borderId="10" xfId="0" applyNumberFormat="1" applyFont="1" applyFill="1" applyBorder="1" applyAlignment="1" applyProtection="1">
      <alignment horizontal="center" vertical="center"/>
      <protection hidden="1"/>
    </xf>
    <xf numFmtId="164" fontId="11" fillId="2" borderId="60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right" indent="1"/>
      <protection hidden="1"/>
    </xf>
    <xf numFmtId="0" fontId="11" fillId="0" borderId="62" xfId="0" applyFont="1" applyBorder="1" applyAlignment="1" applyProtection="1">
      <alignment horizontal="right" indent="1"/>
      <protection hidden="1"/>
    </xf>
    <xf numFmtId="0" fontId="0" fillId="0" borderId="62" xfId="0" applyBorder="1" applyProtection="1">
      <protection hidden="1"/>
    </xf>
    <xf numFmtId="0" fontId="0" fillId="0" borderId="62" xfId="0" applyBorder="1" applyAlignment="1" applyProtection="1">
      <alignment horizontal="right" indent="1"/>
      <protection hidden="1"/>
    </xf>
    <xf numFmtId="164" fontId="0" fillId="0" borderId="60" xfId="0" applyNumberFormat="1" applyBorder="1" applyAlignment="1" applyProtection="1">
      <alignment horizontal="center" vertical="center"/>
      <protection hidden="1"/>
    </xf>
    <xf numFmtId="164" fontId="11" fillId="2" borderId="8" xfId="0" applyNumberFormat="1" applyFont="1" applyFill="1" applyBorder="1" applyAlignment="1" applyProtection="1">
      <alignment horizontal="center" vertical="center"/>
      <protection hidden="1"/>
    </xf>
    <xf numFmtId="164" fontId="11" fillId="2" borderId="63" xfId="0" applyNumberFormat="1" applyFont="1" applyFill="1" applyBorder="1" applyAlignment="1" applyProtection="1">
      <alignment horizontal="center" vertical="center"/>
      <protection hidden="1"/>
    </xf>
    <xf numFmtId="0" fontId="44" fillId="0" borderId="50" xfId="0" applyFont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14" fontId="3" fillId="0" borderId="92" xfId="0" applyNumberFormat="1" applyFont="1" applyBorder="1" applyAlignment="1" applyProtection="1">
      <alignment horizontal="left" wrapText="1"/>
      <protection hidden="1"/>
    </xf>
    <xf numFmtId="0" fontId="15" fillId="0" borderId="67" xfId="0" applyFont="1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right" indent="1"/>
      <protection hidden="1"/>
    </xf>
    <xf numFmtId="0" fontId="3" fillId="0" borderId="32" xfId="0" applyFont="1" applyBorder="1" applyAlignment="1" applyProtection="1">
      <alignment horizontal="left"/>
      <protection hidden="1"/>
    </xf>
    <xf numFmtId="0" fontId="27" fillId="4" borderId="10" xfId="0" applyFont="1" applyFill="1" applyBorder="1" applyAlignment="1" applyProtection="1">
      <alignment horizontal="center"/>
      <protection locked="0" hidden="1"/>
    </xf>
    <xf numFmtId="0" fontId="0" fillId="0" borderId="60" xfId="0" applyBorder="1" applyAlignment="1" applyProtection="1">
      <alignment horizontal="center"/>
      <protection locked="0" hidden="1"/>
    </xf>
    <xf numFmtId="0" fontId="15" fillId="3" borderId="49" xfId="0" applyFont="1" applyFill="1" applyBorder="1" applyAlignment="1" applyProtection="1">
      <alignment horizontal="center"/>
      <protection hidden="1"/>
    </xf>
    <xf numFmtId="0" fontId="15" fillId="3" borderId="51" xfId="0" applyFont="1" applyFill="1" applyBorder="1" applyAlignment="1" applyProtection="1">
      <alignment horizontal="center"/>
      <protection hidden="1"/>
    </xf>
    <xf numFmtId="0" fontId="27" fillId="4" borderId="60" xfId="0" applyFont="1" applyFill="1" applyBorder="1" applyAlignment="1" applyProtection="1">
      <alignment horizontal="center"/>
      <protection locked="0" hidden="1"/>
    </xf>
    <xf numFmtId="0" fontId="15" fillId="0" borderId="49" xfId="0" applyFont="1" applyBorder="1" applyAlignment="1" applyProtection="1">
      <alignment horizontal="center"/>
      <protection hidden="1"/>
    </xf>
    <xf numFmtId="0" fontId="11" fillId="0" borderId="77" xfId="0" applyFont="1" applyBorder="1" applyAlignment="1" applyProtection="1">
      <alignment horizontal="center" textRotation="90" wrapText="1"/>
      <protection hidden="1"/>
    </xf>
    <xf numFmtId="0" fontId="11" fillId="0" borderId="147" xfId="0" applyFont="1" applyBorder="1" applyAlignment="1" applyProtection="1">
      <alignment horizontal="center" textRotation="90" wrapText="1"/>
      <protection hidden="1"/>
    </xf>
    <xf numFmtId="0" fontId="53" fillId="0" borderId="77" xfId="0" applyFont="1" applyBorder="1" applyAlignment="1" applyProtection="1">
      <alignment horizontal="center" vertical="center" textRotation="90" wrapText="1"/>
      <protection hidden="1"/>
    </xf>
    <xf numFmtId="0" fontId="0" fillId="0" borderId="51" xfId="0" applyBorder="1" applyAlignment="1" applyProtection="1">
      <alignment horizontal="center" vertical="center" textRotation="90" wrapText="1"/>
      <protection hidden="1"/>
    </xf>
    <xf numFmtId="0" fontId="27" fillId="4" borderId="14" xfId="0" applyFont="1" applyFill="1" applyBorder="1" applyAlignment="1" applyProtection="1">
      <alignment horizontal="center"/>
      <protection locked="0" hidden="1"/>
    </xf>
    <xf numFmtId="0" fontId="27" fillId="4" borderId="12" xfId="0" applyFont="1" applyFill="1" applyBorder="1" applyAlignment="1" applyProtection="1">
      <alignment horizontal="center"/>
      <protection locked="0" hidden="1"/>
    </xf>
    <xf numFmtId="0" fontId="32" fillId="0" borderId="19" xfId="0" applyFont="1" applyBorder="1" applyProtection="1">
      <protection hidden="1"/>
    </xf>
    <xf numFmtId="0" fontId="32" fillId="0" borderId="20" xfId="0" applyFont="1" applyBorder="1" applyProtection="1">
      <protection hidden="1"/>
    </xf>
    <xf numFmtId="0" fontId="32" fillId="0" borderId="29" xfId="0" applyFont="1" applyBorder="1" applyProtection="1">
      <protection hidden="1"/>
    </xf>
    <xf numFmtId="0" fontId="32" fillId="0" borderId="27" xfId="0" applyFont="1" applyBorder="1" applyProtection="1">
      <protection hidden="1"/>
    </xf>
    <xf numFmtId="0" fontId="32" fillId="0" borderId="7" xfId="0" applyFont="1" applyBorder="1" applyProtection="1">
      <protection hidden="1"/>
    </xf>
    <xf numFmtId="0" fontId="32" fillId="0" borderId="31" xfId="0" applyFont="1" applyBorder="1" applyProtection="1">
      <protection hidden="1"/>
    </xf>
    <xf numFmtId="0" fontId="15" fillId="3" borderId="49" xfId="0" applyFont="1" applyFill="1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vertical="center"/>
      <protection hidden="1"/>
    </xf>
    <xf numFmtId="0" fontId="27" fillId="4" borderId="15" xfId="0" applyFont="1" applyFill="1" applyBorder="1" applyAlignment="1" applyProtection="1">
      <alignment horizontal="center"/>
      <protection locked="0" hidden="1"/>
    </xf>
    <xf numFmtId="0" fontId="27" fillId="4" borderId="148" xfId="0" applyFont="1" applyFill="1" applyBorder="1" applyAlignment="1" applyProtection="1">
      <alignment horizontal="center"/>
      <protection locked="0" hidden="1"/>
    </xf>
    <xf numFmtId="0" fontId="11" fillId="4" borderId="8" xfId="0" applyFont="1" applyFill="1" applyBorder="1" applyAlignment="1" applyProtection="1">
      <alignment horizontal="center"/>
      <protection locked="0" hidden="1"/>
    </xf>
    <xf numFmtId="0" fontId="11" fillId="4" borderId="63" xfId="0" applyFont="1" applyFill="1" applyBorder="1" applyAlignment="1" applyProtection="1">
      <alignment horizontal="center"/>
      <protection locked="0" hidden="1"/>
    </xf>
    <xf numFmtId="0" fontId="27" fillId="4" borderId="97" xfId="0" applyFont="1" applyFill="1" applyBorder="1" applyAlignment="1" applyProtection="1">
      <alignment horizontal="center" vertical="center"/>
      <protection locked="0" hidden="1"/>
    </xf>
    <xf numFmtId="0" fontId="0" fillId="4" borderId="96" xfId="0" applyFill="1" applyBorder="1" applyAlignment="1" applyProtection="1">
      <alignment vertical="center"/>
      <protection locked="0" hidden="1"/>
    </xf>
    <xf numFmtId="0" fontId="0" fillId="0" borderId="27" xfId="0" applyBorder="1" applyAlignment="1" applyProtection="1">
      <alignment vertical="center"/>
      <protection locked="0" hidden="1"/>
    </xf>
    <xf numFmtId="0" fontId="0" fillId="0" borderId="31" xfId="0" applyBorder="1" applyAlignment="1" applyProtection="1">
      <alignment vertical="center"/>
      <protection locked="0" hidden="1"/>
    </xf>
    <xf numFmtId="0" fontId="0" fillId="6" borderId="31" xfId="0" applyFill="1" applyBorder="1" applyProtection="1">
      <protection locked="0" hidden="1"/>
    </xf>
    <xf numFmtId="0" fontId="11" fillId="3" borderId="10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vertical="center"/>
      <protection hidden="1"/>
    </xf>
    <xf numFmtId="0" fontId="11" fillId="3" borderId="8" xfId="0" applyFont="1" applyFill="1" applyBorder="1" applyAlignment="1" applyProtection="1">
      <alignment horizontal="center" vertical="center"/>
      <protection hidden="1"/>
    </xf>
    <xf numFmtId="0" fontId="0" fillId="0" borderId="63" xfId="0" applyBorder="1" applyAlignment="1" applyProtection="1">
      <alignment vertical="center"/>
      <protection hidden="1"/>
    </xf>
    <xf numFmtId="0" fontId="15" fillId="0" borderId="49" xfId="0" applyFont="1" applyBorder="1" applyAlignment="1" applyProtection="1">
      <alignment horizontal="center" vertical="center" wrapText="1"/>
      <protection hidden="1"/>
    </xf>
    <xf numFmtId="0" fontId="15" fillId="0" borderId="51" xfId="0" applyFont="1" applyBorder="1" applyAlignment="1" applyProtection="1">
      <alignment horizontal="center" vertical="center" wrapText="1"/>
      <protection hidden="1"/>
    </xf>
    <xf numFmtId="0" fontId="4" fillId="6" borderId="7" xfId="0" applyFont="1" applyFill="1" applyBorder="1" applyProtection="1">
      <protection locked="0" hidden="1"/>
    </xf>
    <xf numFmtId="0" fontId="4" fillId="6" borderId="31" xfId="0" applyFont="1" applyFill="1" applyBorder="1" applyProtection="1">
      <protection locked="0" hidden="1"/>
    </xf>
    <xf numFmtId="0" fontId="15" fillId="0" borderId="49" xfId="0" applyFont="1" applyBorder="1" applyAlignment="1" applyProtection="1">
      <alignment horizontal="center" wrapText="1"/>
      <protection hidden="1"/>
    </xf>
    <xf numFmtId="0" fontId="15" fillId="0" borderId="51" xfId="0" applyFont="1" applyBorder="1" applyAlignment="1" applyProtection="1">
      <alignment horizontal="center" wrapText="1"/>
      <protection hidden="1"/>
    </xf>
    <xf numFmtId="14" fontId="3" fillId="0" borderId="32" xfId="0" applyNumberFormat="1" applyFont="1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12" xfId="0" applyFont="1" applyBorder="1" applyAlignment="1" applyProtection="1">
      <alignment horizontal="left"/>
      <protection hidden="1"/>
    </xf>
    <xf numFmtId="0" fontId="35" fillId="0" borderId="53" xfId="0" applyFont="1" applyBorder="1" applyAlignment="1" applyProtection="1">
      <alignment horizontal="center"/>
      <protection hidden="1"/>
    </xf>
    <xf numFmtId="0" fontId="0" fillId="0" borderId="12" xfId="0" applyBorder="1" applyAlignment="1">
      <alignment horizontal="center"/>
    </xf>
    <xf numFmtId="0" fontId="1" fillId="0" borderId="14" xfId="0" applyFont="1" applyBorder="1" applyAlignment="1" applyProtection="1">
      <alignment horizont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1" xfId="0" applyBorder="1" applyAlignment="1">
      <alignment horizontal="center"/>
    </xf>
    <xf numFmtId="0" fontId="14" fillId="0" borderId="149" xfId="0" applyFont="1" applyBorder="1" applyAlignment="1" applyProtection="1">
      <alignment horizontal="left" vertical="center"/>
      <protection hidden="1"/>
    </xf>
    <xf numFmtId="0" fontId="0" fillId="0" borderId="150" xfId="0" applyBorder="1" applyAlignment="1" applyProtection="1">
      <alignment horizontal="left" vertical="center"/>
      <protection hidden="1"/>
    </xf>
    <xf numFmtId="0" fontId="0" fillId="0" borderId="151" xfId="0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53" fillId="0" borderId="14" xfId="0" applyFont="1" applyFill="1" applyBorder="1" applyAlignment="1" applyProtection="1">
      <alignment horizontal="left"/>
      <protection hidden="1"/>
    </xf>
    <xf numFmtId="0" fontId="53" fillId="0" borderId="12" xfId="0" applyFont="1" applyFill="1" applyBorder="1" applyProtection="1">
      <protection hidden="1"/>
    </xf>
    <xf numFmtId="0" fontId="0" fillId="0" borderId="14" xfId="0" applyFill="1" applyBorder="1" applyAlignment="1" applyProtection="1">
      <alignment horizont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53" fillId="0" borderId="14" xfId="0" applyFont="1" applyFill="1" applyBorder="1" applyAlignment="1" applyProtection="1">
      <alignment horizontal="center"/>
      <protection hidden="1"/>
    </xf>
    <xf numFmtId="0" fontId="53" fillId="0" borderId="12" xfId="0" applyFont="1" applyFill="1" applyBorder="1" applyAlignment="1" applyProtection="1">
      <alignment horizontal="center"/>
      <protection hidden="1"/>
    </xf>
    <xf numFmtId="0" fontId="14" fillId="0" borderId="14" xfId="0" applyFont="1" applyFill="1" applyBorder="1" applyAlignment="1" applyProtection="1">
      <alignment horizontal="center"/>
      <protection hidden="1"/>
    </xf>
    <xf numFmtId="0" fontId="0" fillId="0" borderId="12" xfId="0" applyFill="1" applyBorder="1" applyProtection="1">
      <protection hidden="1"/>
    </xf>
    <xf numFmtId="0" fontId="53" fillId="0" borderId="14" xfId="0" applyFont="1" applyBorder="1" applyAlignment="1" applyProtection="1">
      <alignment horizontal="center"/>
      <protection hidden="1"/>
    </xf>
    <xf numFmtId="0" fontId="53" fillId="0" borderId="12" xfId="0" applyFont="1" applyBorder="1" applyAlignment="1" applyProtection="1">
      <alignment horizontal="center"/>
      <protection hidden="1"/>
    </xf>
    <xf numFmtId="1" fontId="0" fillId="0" borderId="14" xfId="0" applyNumberFormat="1" applyBorder="1" applyAlignment="1" applyProtection="1">
      <alignment horizontal="center"/>
      <protection hidden="1"/>
    </xf>
    <xf numFmtId="1" fontId="0" fillId="0" borderId="12" xfId="0" applyNumberForma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35" fillId="0" borderId="34" xfId="0" applyFont="1" applyBorder="1" applyAlignment="1" applyProtection="1">
      <alignment horizontal="center"/>
      <protection hidden="1"/>
    </xf>
    <xf numFmtId="0" fontId="35" fillId="0" borderId="14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72" fillId="0" borderId="37" xfId="0" applyFont="1" applyBorder="1" applyAlignment="1" applyProtection="1">
      <alignment horizontal="center" wrapText="1"/>
      <protection hidden="1"/>
    </xf>
    <xf numFmtId="0" fontId="73" fillId="0" borderId="38" xfId="0" applyFont="1" applyBorder="1" applyAlignment="1" applyProtection="1">
      <alignment horizontal="center" wrapText="1"/>
      <protection hidden="1"/>
    </xf>
    <xf numFmtId="0" fontId="72" fillId="0" borderId="37" xfId="0" applyFont="1" applyBorder="1" applyAlignment="1" applyProtection="1">
      <alignment horizontal="center"/>
      <protection hidden="1"/>
    </xf>
    <xf numFmtId="0" fontId="72" fillId="0" borderId="38" xfId="0" applyFont="1" applyBorder="1" applyAlignment="1" applyProtection="1">
      <alignment horizontal="center"/>
      <protection hidden="1"/>
    </xf>
    <xf numFmtId="0" fontId="72" fillId="0" borderId="40" xfId="0" applyFont="1" applyBorder="1" applyAlignment="1" applyProtection="1">
      <alignment horizontal="center" wrapText="1"/>
      <protection hidden="1"/>
    </xf>
    <xf numFmtId="0" fontId="73" fillId="0" borderId="41" xfId="0" applyFont="1" applyBorder="1" applyAlignment="1" applyProtection="1">
      <alignment horizontal="center" wrapText="1"/>
      <protection hidden="1"/>
    </xf>
    <xf numFmtId="0" fontId="74" fillId="0" borderId="40" xfId="0" applyFont="1" applyBorder="1" applyAlignment="1" applyProtection="1">
      <alignment horizontal="center"/>
      <protection hidden="1"/>
    </xf>
    <xf numFmtId="0" fontId="73" fillId="0" borderId="41" xfId="0" applyFont="1" applyBorder="1" applyAlignment="1" applyProtection="1">
      <alignment horizontal="center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3" fillId="0" borderId="37" xfId="0" applyFont="1" applyBorder="1" applyAlignment="1" applyProtection="1">
      <alignment horizontal="center"/>
      <protection hidden="1"/>
    </xf>
    <xf numFmtId="0" fontId="53" fillId="0" borderId="38" xfId="0" applyFont="1" applyBorder="1" applyAlignment="1" applyProtection="1">
      <alignment horizontal="center"/>
      <protection hidden="1"/>
    </xf>
    <xf numFmtId="0" fontId="53" fillId="0" borderId="34" xfId="0" applyFont="1" applyBorder="1" applyAlignment="1" applyProtection="1">
      <alignment horizontal="center"/>
      <protection hidden="1"/>
    </xf>
    <xf numFmtId="0" fontId="53" fillId="0" borderId="35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0" fillId="0" borderId="0" xfId="0" applyAlignment="1"/>
    <xf numFmtId="0" fontId="73" fillId="0" borderId="38" xfId="0" applyFont="1" applyBorder="1" applyAlignment="1" applyProtection="1">
      <alignment horizontal="center"/>
      <protection hidden="1"/>
    </xf>
    <xf numFmtId="0" fontId="1" fillId="0" borderId="14" xfId="0" applyFont="1" applyFill="1" applyBorder="1" applyAlignment="1" applyProtection="1">
      <alignment horizontal="center"/>
      <protection hidden="1"/>
    </xf>
    <xf numFmtId="0" fontId="35" fillId="0" borderId="14" xfId="0" applyFont="1" applyFill="1" applyBorder="1" applyAlignment="1" applyProtection="1">
      <alignment horizontal="center"/>
      <protection hidden="1"/>
    </xf>
    <xf numFmtId="0" fontId="4" fillId="0" borderId="25" xfId="0" applyFont="1" applyFill="1" applyBorder="1" applyAlignment="1" applyProtection="1">
      <alignment horizontal="left" wrapText="1"/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0" fillId="0" borderId="63" xfId="0" applyBorder="1" applyAlignment="1"/>
    <xf numFmtId="0" fontId="103" fillId="0" borderId="22" xfId="0" applyFont="1" applyBorder="1" applyAlignment="1" applyProtection="1">
      <alignment horizontal="center" vertical="center" wrapText="1"/>
      <protection hidden="1"/>
    </xf>
    <xf numFmtId="0" fontId="87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 applyProtection="1">
      <alignment vertical="center" wrapText="1"/>
      <protection hidden="1"/>
    </xf>
    <xf numFmtId="0" fontId="1" fillId="0" borderId="36" xfId="0" applyFont="1" applyBorder="1" applyAlignment="1" applyProtection="1">
      <alignment vertical="center" wrapText="1"/>
      <protection hidden="1"/>
    </xf>
    <xf numFmtId="0" fontId="1" fillId="0" borderId="39" xfId="0" applyFont="1" applyBorder="1" applyAlignment="1" applyProtection="1">
      <alignment vertical="center" wrapText="1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</cellXfs>
  <cellStyles count="3">
    <cellStyle name="Standard" xfId="0" builtinId="0"/>
    <cellStyle name="Standard_Tabelle1" xfId="1" xr:uid="{00000000-0005-0000-0000-000002000000}"/>
    <cellStyle name="Standard_Tabelle3" xfId="2" xr:uid="{00000000-0005-0000-0000-000003000000}"/>
  </cellStyles>
  <dxfs count="16">
    <dxf>
      <fill>
        <patternFill>
          <bgColor rgb="FFF6C90A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6C90A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rgb="FFF6C90A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C90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S38" lockText="1" noThreeD="1"/>
</file>

<file path=xl/ctrlProps/ctrlProp10.xml><?xml version="1.0" encoding="utf-8"?>
<formControlPr xmlns="http://schemas.microsoft.com/office/spreadsheetml/2009/9/main" objectType="CheckBox" fmlaLink="T27" lockText="1" noThreeD="1"/>
</file>

<file path=xl/ctrlProps/ctrlProp11.xml><?xml version="1.0" encoding="utf-8"?>
<formControlPr xmlns="http://schemas.microsoft.com/office/spreadsheetml/2009/9/main" objectType="CheckBox" fmlaLink="$S$13" lockText="1" noThreeD="1"/>
</file>

<file path=xl/ctrlProps/ctrlProp12.xml><?xml version="1.0" encoding="utf-8"?>
<formControlPr xmlns="http://schemas.microsoft.com/office/spreadsheetml/2009/9/main" objectType="CheckBox" checked="Checked" fmlaLink="$S$27" lockText="1" noThreeD="1"/>
</file>

<file path=xl/ctrlProps/ctrlProp2.xml><?xml version="1.0" encoding="utf-8"?>
<formControlPr xmlns="http://schemas.microsoft.com/office/spreadsheetml/2009/9/main" objectType="CheckBox" fmlaLink="T38" lockText="1" noThreeD="1"/>
</file>

<file path=xl/ctrlProps/ctrlProp3.xml><?xml version="1.0" encoding="utf-8"?>
<formControlPr xmlns="http://schemas.microsoft.com/office/spreadsheetml/2009/9/main" objectType="CheckBox" fmlaLink="S39" lockText="1" noThreeD="1"/>
</file>

<file path=xl/ctrlProps/ctrlProp4.xml><?xml version="1.0" encoding="utf-8"?>
<formControlPr xmlns="http://schemas.microsoft.com/office/spreadsheetml/2009/9/main" objectType="CheckBox" fmlaLink="S40" lockText="1" noThreeD="1"/>
</file>

<file path=xl/ctrlProps/ctrlProp5.xml><?xml version="1.0" encoding="utf-8"?>
<formControlPr xmlns="http://schemas.microsoft.com/office/spreadsheetml/2009/9/main" objectType="CheckBox" fmlaLink="T39" lockText="1" noThreeD="1"/>
</file>

<file path=xl/ctrlProps/ctrlProp6.xml><?xml version="1.0" encoding="utf-8"?>
<formControlPr xmlns="http://schemas.microsoft.com/office/spreadsheetml/2009/9/main" objectType="CheckBox" fmlaLink="T40" lockText="1" noThreeD="1"/>
</file>

<file path=xl/ctrlProps/ctrlProp7.xml><?xml version="1.0" encoding="utf-8"?>
<formControlPr xmlns="http://schemas.microsoft.com/office/spreadsheetml/2009/9/main" objectType="CheckBox" fmlaLink="$S$34" lockText="1" noThreeD="1"/>
</file>

<file path=xl/ctrlProps/ctrlProp8.xml><?xml version="1.0" encoding="utf-8"?>
<formControlPr xmlns="http://schemas.microsoft.com/office/spreadsheetml/2009/9/main" objectType="CheckBox" fmlaLink="$S$42" lockText="1" noThreeD="1"/>
</file>

<file path=xl/ctrlProps/ctrlProp9.xml><?xml version="1.0" encoding="utf-8"?>
<formControlPr xmlns="http://schemas.microsoft.com/office/spreadsheetml/2009/9/main" objectType="CheckBox" fmlaLink="$T$4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371475</xdr:rowOff>
    </xdr:from>
    <xdr:to>
      <xdr:col>8</xdr:col>
      <xdr:colOff>38100</xdr:colOff>
      <xdr:row>0</xdr:row>
      <xdr:rowOff>1019175</xdr:rowOff>
    </xdr:to>
    <xdr:grpSp>
      <xdr:nvGrpSpPr>
        <xdr:cNvPr id="40946" name="Group 138">
          <a:extLst>
            <a:ext uri="{FF2B5EF4-FFF2-40B4-BE49-F238E27FC236}">
              <a16:creationId xmlns:a16="http://schemas.microsoft.com/office/drawing/2014/main" id="{00000000-0008-0000-0000-0000F29F0000}"/>
            </a:ext>
          </a:extLst>
        </xdr:cNvPr>
        <xdr:cNvGrpSpPr>
          <a:grpSpLocks noChangeAspect="1"/>
        </xdr:cNvGrpSpPr>
      </xdr:nvGrpSpPr>
      <xdr:grpSpPr bwMode="auto">
        <a:xfrm>
          <a:off x="133350" y="368300"/>
          <a:ext cx="5083969" cy="647700"/>
          <a:chOff x="55" y="41"/>
          <a:chExt cx="321" cy="43"/>
        </a:xfrm>
      </xdr:grpSpPr>
      <xdr:sp macro="" textlink="">
        <xdr:nvSpPr>
          <xdr:cNvPr id="40947" name="AutoShape 137">
            <a:extLst>
              <a:ext uri="{FF2B5EF4-FFF2-40B4-BE49-F238E27FC236}">
                <a16:creationId xmlns:a16="http://schemas.microsoft.com/office/drawing/2014/main" id="{00000000-0008-0000-0000-0000F39F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0948" name="Group 141">
            <a:extLst>
              <a:ext uri="{FF2B5EF4-FFF2-40B4-BE49-F238E27FC236}">
                <a16:creationId xmlns:a16="http://schemas.microsoft.com/office/drawing/2014/main" id="{00000000-0008-0000-0000-0000F49F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9170" name="Grafik 70">
              <a:extLst>
                <a:ext uri="{FF2B5EF4-FFF2-40B4-BE49-F238E27FC236}">
                  <a16:creationId xmlns:a16="http://schemas.microsoft.com/office/drawing/2014/main" id="{00000000-0008-0000-0000-000012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71" name="Grafik 71">
              <a:extLst>
                <a:ext uri="{FF2B5EF4-FFF2-40B4-BE49-F238E27FC236}">
                  <a16:creationId xmlns:a16="http://schemas.microsoft.com/office/drawing/2014/main" id="{00000000-0008-0000-0000-000013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73" name="Rectangle 14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8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0950" name="Group 145">
            <a:extLst>
              <a:ext uri="{FF2B5EF4-FFF2-40B4-BE49-F238E27FC236}">
                <a16:creationId xmlns:a16="http://schemas.microsoft.com/office/drawing/2014/main" id="{00000000-0008-0000-0000-0000F69F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9168" name="Grafik 68">
              <a:extLst>
                <a:ext uri="{FF2B5EF4-FFF2-40B4-BE49-F238E27FC236}">
                  <a16:creationId xmlns:a16="http://schemas.microsoft.com/office/drawing/2014/main" id="{00000000-0008-0000-0000-000010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69" name="Grafik 69">
              <a:extLst>
                <a:ext uri="{FF2B5EF4-FFF2-40B4-BE49-F238E27FC236}">
                  <a16:creationId xmlns:a16="http://schemas.microsoft.com/office/drawing/2014/main" id="{00000000-0008-0000-0000-000011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75" name="Rectangle 146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0952" name="Group 149">
            <a:extLst>
              <a:ext uri="{FF2B5EF4-FFF2-40B4-BE49-F238E27FC236}">
                <a16:creationId xmlns:a16="http://schemas.microsoft.com/office/drawing/2014/main" id="{00000000-0008-0000-0000-0000F89F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9166" name="Grafik 66">
              <a:extLst>
                <a:ext uri="{FF2B5EF4-FFF2-40B4-BE49-F238E27FC236}">
                  <a16:creationId xmlns:a16="http://schemas.microsoft.com/office/drawing/2014/main" id="{00000000-0008-0000-0000-00000E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67" name="Grafik 67">
              <a:extLst>
                <a:ext uri="{FF2B5EF4-FFF2-40B4-BE49-F238E27FC236}">
                  <a16:creationId xmlns:a16="http://schemas.microsoft.com/office/drawing/2014/main" id="{00000000-0008-0000-0000-00000F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77" name="Rectangle 150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 noChangeArrowheads="1"/>
          </xdr:cNvSpPr>
        </xdr:nvSpPr>
        <xdr:spPr bwMode="auto">
          <a:xfrm>
            <a:off x="16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0954" name="Group 153">
            <a:extLst>
              <a:ext uri="{FF2B5EF4-FFF2-40B4-BE49-F238E27FC236}">
                <a16:creationId xmlns:a16="http://schemas.microsoft.com/office/drawing/2014/main" id="{00000000-0008-0000-0000-0000FA9F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9164" name="Grafik 64">
              <a:extLst>
                <a:ext uri="{FF2B5EF4-FFF2-40B4-BE49-F238E27FC236}">
                  <a16:creationId xmlns:a16="http://schemas.microsoft.com/office/drawing/2014/main" id="{00000000-0008-0000-0000-00000C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65" name="Grafik 65">
              <a:extLst>
                <a:ext uri="{FF2B5EF4-FFF2-40B4-BE49-F238E27FC236}">
                  <a16:creationId xmlns:a16="http://schemas.microsoft.com/office/drawing/2014/main" id="{00000000-0008-0000-0000-00000D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79" name="Rectangle 154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5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0956" name="Group 157">
            <a:extLst>
              <a:ext uri="{FF2B5EF4-FFF2-40B4-BE49-F238E27FC236}">
                <a16:creationId xmlns:a16="http://schemas.microsoft.com/office/drawing/2014/main" id="{00000000-0008-0000-0000-0000FC9F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9162" name="Grafik 62">
              <a:extLst>
                <a:ext uri="{FF2B5EF4-FFF2-40B4-BE49-F238E27FC236}">
                  <a16:creationId xmlns:a16="http://schemas.microsoft.com/office/drawing/2014/main" id="{00000000-0008-0000-0000-00000A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63" name="Grafik 63">
              <a:extLst>
                <a:ext uri="{FF2B5EF4-FFF2-40B4-BE49-F238E27FC236}">
                  <a16:creationId xmlns:a16="http://schemas.microsoft.com/office/drawing/2014/main" id="{00000000-0008-0000-0000-00000B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1" name="Rectangle 158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0958" name="Group 161">
            <a:extLst>
              <a:ext uri="{FF2B5EF4-FFF2-40B4-BE49-F238E27FC236}">
                <a16:creationId xmlns:a16="http://schemas.microsoft.com/office/drawing/2014/main" id="{00000000-0008-0000-0000-0000FE9F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9160" name="Grafik 60">
              <a:extLst>
                <a:ext uri="{FF2B5EF4-FFF2-40B4-BE49-F238E27FC236}">
                  <a16:creationId xmlns:a16="http://schemas.microsoft.com/office/drawing/2014/main" id="{00000000-0008-0000-0000-000008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61" name="Grafik 61">
              <a:extLst>
                <a:ext uri="{FF2B5EF4-FFF2-40B4-BE49-F238E27FC236}">
                  <a16:creationId xmlns:a16="http://schemas.microsoft.com/office/drawing/2014/main" id="{00000000-0008-0000-0000-000009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3" name="Rectangle 16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>
            <a:spLocks noChangeArrowheads="1"/>
          </xdr:cNvSpPr>
        </xdr:nvSpPr>
        <xdr:spPr bwMode="auto">
          <a:xfrm>
            <a:off x="282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9152" name="Group 165">
            <a:extLst>
              <a:ext uri="{FF2B5EF4-FFF2-40B4-BE49-F238E27FC236}">
                <a16:creationId xmlns:a16="http://schemas.microsoft.com/office/drawing/2014/main" id="{00000000-0008-0000-0000-000000C0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9158" name="Grafik 58">
              <a:extLst>
                <a:ext uri="{FF2B5EF4-FFF2-40B4-BE49-F238E27FC236}">
                  <a16:creationId xmlns:a16="http://schemas.microsoft.com/office/drawing/2014/main" id="{00000000-0008-0000-0000-000006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59" name="Grafik 59">
              <a:extLst>
                <a:ext uri="{FF2B5EF4-FFF2-40B4-BE49-F238E27FC236}">
                  <a16:creationId xmlns:a16="http://schemas.microsoft.com/office/drawing/2014/main" id="{00000000-0008-0000-0000-000007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5" name="Rectangle 166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31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9154" name="Group 169">
            <a:extLst>
              <a:ext uri="{FF2B5EF4-FFF2-40B4-BE49-F238E27FC236}">
                <a16:creationId xmlns:a16="http://schemas.microsoft.com/office/drawing/2014/main" id="{00000000-0008-0000-0000-000002C0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9156" name="Grafik 56">
              <a:extLst>
                <a:ext uri="{FF2B5EF4-FFF2-40B4-BE49-F238E27FC236}">
                  <a16:creationId xmlns:a16="http://schemas.microsoft.com/office/drawing/2014/main" id="{00000000-0008-0000-0000-000004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157" name="Grafik 57">
              <a:extLst>
                <a:ext uri="{FF2B5EF4-FFF2-40B4-BE49-F238E27FC236}">
                  <a16:creationId xmlns:a16="http://schemas.microsoft.com/office/drawing/2014/main" id="{00000000-0008-0000-0000-000005C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7" name="Rectangle 170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47110" name="Text 3">
          <a:extLst>
            <a:ext uri="{FF2B5EF4-FFF2-40B4-BE49-F238E27FC236}">
              <a16:creationId xmlns:a16="http://schemas.microsoft.com/office/drawing/2014/main" id="{00000000-0008-0000-0100-000006B80000}"/>
            </a:ext>
          </a:extLst>
        </xdr:cNvPr>
        <xdr:cNvSpPr txBox="1">
          <a:spLocks noChangeArrowheads="1"/>
        </xdr:cNvSpPr>
      </xdr:nvSpPr>
      <xdr:spPr bwMode="auto">
        <a:xfrm>
          <a:off x="419100" y="8743950"/>
          <a:ext cx="9563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0</xdr:row>
      <xdr:rowOff>228600</xdr:rowOff>
    </xdr:from>
    <xdr:to>
      <xdr:col>9</xdr:col>
      <xdr:colOff>428625</xdr:colOff>
      <xdr:row>0</xdr:row>
      <xdr:rowOff>876300</xdr:rowOff>
    </xdr:to>
    <xdr:grpSp>
      <xdr:nvGrpSpPr>
        <xdr:cNvPr id="47111" name="Group 138">
          <a:extLst>
            <a:ext uri="{FF2B5EF4-FFF2-40B4-BE49-F238E27FC236}">
              <a16:creationId xmlns:a16="http://schemas.microsoft.com/office/drawing/2014/main" id="{00000000-0008-0000-0100-000007B80000}"/>
            </a:ext>
          </a:extLst>
        </xdr:cNvPr>
        <xdr:cNvGrpSpPr>
          <a:grpSpLocks noChangeAspect="1"/>
        </xdr:cNvGrpSpPr>
      </xdr:nvGrpSpPr>
      <xdr:grpSpPr bwMode="auto">
        <a:xfrm>
          <a:off x="152400" y="228600"/>
          <a:ext cx="5666581" cy="647700"/>
          <a:chOff x="55" y="41"/>
          <a:chExt cx="321" cy="43"/>
        </a:xfrm>
      </xdr:grpSpPr>
      <xdr:sp macro="" textlink="">
        <xdr:nvSpPr>
          <xdr:cNvPr id="47112" name="AutoShape 137">
            <a:extLst>
              <a:ext uri="{FF2B5EF4-FFF2-40B4-BE49-F238E27FC236}">
                <a16:creationId xmlns:a16="http://schemas.microsoft.com/office/drawing/2014/main" id="{00000000-0008-0000-0100-000008B8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7113" name="Group 141">
            <a:extLst>
              <a:ext uri="{FF2B5EF4-FFF2-40B4-BE49-F238E27FC236}">
                <a16:creationId xmlns:a16="http://schemas.microsoft.com/office/drawing/2014/main" id="{00000000-0008-0000-0100-000009B8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7143" name="Grafik 70">
              <a:extLst>
                <a:ext uri="{FF2B5EF4-FFF2-40B4-BE49-F238E27FC236}">
                  <a16:creationId xmlns:a16="http://schemas.microsoft.com/office/drawing/2014/main" id="{00000000-0008-0000-0100-000027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44" name="Grafik 71">
              <a:extLst>
                <a:ext uri="{FF2B5EF4-FFF2-40B4-BE49-F238E27FC236}">
                  <a16:creationId xmlns:a16="http://schemas.microsoft.com/office/drawing/2014/main" id="{00000000-0008-0000-0100-000028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1" name="Rectangle 142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8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15" name="Group 145">
            <a:extLst>
              <a:ext uri="{FF2B5EF4-FFF2-40B4-BE49-F238E27FC236}">
                <a16:creationId xmlns:a16="http://schemas.microsoft.com/office/drawing/2014/main" id="{00000000-0008-0000-0100-00000BB8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7141" name="Grafik 68">
              <a:extLst>
                <a:ext uri="{FF2B5EF4-FFF2-40B4-BE49-F238E27FC236}">
                  <a16:creationId xmlns:a16="http://schemas.microsoft.com/office/drawing/2014/main" id="{00000000-0008-0000-0100-000025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42" name="Grafik 69">
              <a:extLst>
                <a:ext uri="{FF2B5EF4-FFF2-40B4-BE49-F238E27FC236}">
                  <a16:creationId xmlns:a16="http://schemas.microsoft.com/office/drawing/2014/main" id="{00000000-0008-0000-0100-000026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3" name="Rectangle 146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17" name="Group 149">
            <a:extLst>
              <a:ext uri="{FF2B5EF4-FFF2-40B4-BE49-F238E27FC236}">
                <a16:creationId xmlns:a16="http://schemas.microsoft.com/office/drawing/2014/main" id="{00000000-0008-0000-0100-00000DB8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7139" name="Grafik 66">
              <a:extLst>
                <a:ext uri="{FF2B5EF4-FFF2-40B4-BE49-F238E27FC236}">
                  <a16:creationId xmlns:a16="http://schemas.microsoft.com/office/drawing/2014/main" id="{00000000-0008-0000-0100-000023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40" name="Grafik 67">
              <a:extLst>
                <a:ext uri="{FF2B5EF4-FFF2-40B4-BE49-F238E27FC236}">
                  <a16:creationId xmlns:a16="http://schemas.microsoft.com/office/drawing/2014/main" id="{00000000-0008-0000-0100-000024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5" name="Rectangle 150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6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19" name="Group 153">
            <a:extLst>
              <a:ext uri="{FF2B5EF4-FFF2-40B4-BE49-F238E27FC236}">
                <a16:creationId xmlns:a16="http://schemas.microsoft.com/office/drawing/2014/main" id="{00000000-0008-0000-0100-00000FB8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7137" name="Grafik 64">
              <a:extLst>
                <a:ext uri="{FF2B5EF4-FFF2-40B4-BE49-F238E27FC236}">
                  <a16:creationId xmlns:a16="http://schemas.microsoft.com/office/drawing/2014/main" id="{00000000-0008-0000-0100-000021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38" name="Grafik 65">
              <a:extLst>
                <a:ext uri="{FF2B5EF4-FFF2-40B4-BE49-F238E27FC236}">
                  <a16:creationId xmlns:a16="http://schemas.microsoft.com/office/drawing/2014/main" id="{00000000-0008-0000-0100-000022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7" name="Rectangle 154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206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21" name="Group 157">
            <a:extLst>
              <a:ext uri="{FF2B5EF4-FFF2-40B4-BE49-F238E27FC236}">
                <a16:creationId xmlns:a16="http://schemas.microsoft.com/office/drawing/2014/main" id="{00000000-0008-0000-0100-000011B8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7135" name="Grafik 62">
              <a:extLst>
                <a:ext uri="{FF2B5EF4-FFF2-40B4-BE49-F238E27FC236}">
                  <a16:creationId xmlns:a16="http://schemas.microsoft.com/office/drawing/2014/main" id="{00000000-0008-0000-0100-00001F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36" name="Grafik 63">
              <a:extLst>
                <a:ext uri="{FF2B5EF4-FFF2-40B4-BE49-F238E27FC236}">
                  <a16:creationId xmlns:a16="http://schemas.microsoft.com/office/drawing/2014/main" id="{00000000-0008-0000-0100-000020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9" name="Rectangle 15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244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23" name="Group 161">
            <a:extLst>
              <a:ext uri="{FF2B5EF4-FFF2-40B4-BE49-F238E27FC236}">
                <a16:creationId xmlns:a16="http://schemas.microsoft.com/office/drawing/2014/main" id="{00000000-0008-0000-0100-000013B8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7133" name="Grafik 60">
              <a:extLst>
                <a:ext uri="{FF2B5EF4-FFF2-40B4-BE49-F238E27FC236}">
                  <a16:creationId xmlns:a16="http://schemas.microsoft.com/office/drawing/2014/main" id="{00000000-0008-0000-0100-00001D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34" name="Grafik 61">
              <a:extLst>
                <a:ext uri="{FF2B5EF4-FFF2-40B4-BE49-F238E27FC236}">
                  <a16:creationId xmlns:a16="http://schemas.microsoft.com/office/drawing/2014/main" id="{00000000-0008-0000-0100-00001E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1" name="Rectangle 162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282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25" name="Group 165">
            <a:extLst>
              <a:ext uri="{FF2B5EF4-FFF2-40B4-BE49-F238E27FC236}">
                <a16:creationId xmlns:a16="http://schemas.microsoft.com/office/drawing/2014/main" id="{00000000-0008-0000-0100-000015B8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7131" name="Grafik 58">
              <a:extLst>
                <a:ext uri="{FF2B5EF4-FFF2-40B4-BE49-F238E27FC236}">
                  <a16:creationId xmlns:a16="http://schemas.microsoft.com/office/drawing/2014/main" id="{00000000-0008-0000-0100-00001B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32" name="Grafik 59">
              <a:extLst>
                <a:ext uri="{FF2B5EF4-FFF2-40B4-BE49-F238E27FC236}">
                  <a16:creationId xmlns:a16="http://schemas.microsoft.com/office/drawing/2014/main" id="{00000000-0008-0000-0100-00001C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3" name="Rectangle 166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31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7127" name="Group 169">
            <a:extLst>
              <a:ext uri="{FF2B5EF4-FFF2-40B4-BE49-F238E27FC236}">
                <a16:creationId xmlns:a16="http://schemas.microsoft.com/office/drawing/2014/main" id="{00000000-0008-0000-0100-000017B8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7129" name="Grafik 56">
              <a:extLst>
                <a:ext uri="{FF2B5EF4-FFF2-40B4-BE49-F238E27FC236}">
                  <a16:creationId xmlns:a16="http://schemas.microsoft.com/office/drawing/2014/main" id="{00000000-0008-0000-0100-000019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130" name="Grafik 57">
              <a:extLst>
                <a:ext uri="{FF2B5EF4-FFF2-40B4-BE49-F238E27FC236}">
                  <a16:creationId xmlns:a16="http://schemas.microsoft.com/office/drawing/2014/main" id="{00000000-0008-0000-0100-00001AB8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5" name="Rectangle 170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9</xdr:col>
      <xdr:colOff>180975</xdr:colOff>
      <xdr:row>0</xdr:row>
      <xdr:rowOff>838200</xdr:rowOff>
    </xdr:to>
    <xdr:grpSp>
      <xdr:nvGrpSpPr>
        <xdr:cNvPr id="44941" name="Group 138">
          <a:extLst>
            <a:ext uri="{FF2B5EF4-FFF2-40B4-BE49-F238E27FC236}">
              <a16:creationId xmlns:a16="http://schemas.microsoft.com/office/drawing/2014/main" id="{00000000-0008-0000-0200-00008DAF0000}"/>
            </a:ext>
          </a:extLst>
        </xdr:cNvPr>
        <xdr:cNvGrpSpPr>
          <a:grpSpLocks noChangeAspect="1"/>
        </xdr:cNvGrpSpPr>
      </xdr:nvGrpSpPr>
      <xdr:grpSpPr bwMode="auto">
        <a:xfrm>
          <a:off x="158750" y="190500"/>
          <a:ext cx="5662613" cy="647700"/>
          <a:chOff x="55" y="41"/>
          <a:chExt cx="321" cy="43"/>
        </a:xfrm>
      </xdr:grpSpPr>
      <xdr:sp macro="" textlink="">
        <xdr:nvSpPr>
          <xdr:cNvPr id="44942" name="AutoShape 137">
            <a:extLst>
              <a:ext uri="{FF2B5EF4-FFF2-40B4-BE49-F238E27FC236}">
                <a16:creationId xmlns:a16="http://schemas.microsoft.com/office/drawing/2014/main" id="{00000000-0008-0000-0200-00008EAF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4943" name="Group 141">
            <a:extLst>
              <a:ext uri="{FF2B5EF4-FFF2-40B4-BE49-F238E27FC236}">
                <a16:creationId xmlns:a16="http://schemas.microsoft.com/office/drawing/2014/main" id="{00000000-0008-0000-0200-00008FAF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4973" name="Grafik 70">
              <a:extLst>
                <a:ext uri="{FF2B5EF4-FFF2-40B4-BE49-F238E27FC236}">
                  <a16:creationId xmlns:a16="http://schemas.microsoft.com/office/drawing/2014/main" id="{00000000-0008-0000-0200-0000AD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74" name="Grafik 71">
              <a:extLst>
                <a:ext uri="{FF2B5EF4-FFF2-40B4-BE49-F238E27FC236}">
                  <a16:creationId xmlns:a16="http://schemas.microsoft.com/office/drawing/2014/main" id="{00000000-0008-0000-0200-0000AE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angle 142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90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45" name="Group 145">
            <a:extLst>
              <a:ext uri="{FF2B5EF4-FFF2-40B4-BE49-F238E27FC236}">
                <a16:creationId xmlns:a16="http://schemas.microsoft.com/office/drawing/2014/main" id="{00000000-0008-0000-0200-000091AF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4971" name="Grafik 68">
              <a:extLst>
                <a:ext uri="{FF2B5EF4-FFF2-40B4-BE49-F238E27FC236}">
                  <a16:creationId xmlns:a16="http://schemas.microsoft.com/office/drawing/2014/main" id="{00000000-0008-0000-0200-0000AB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72" name="Grafik 69">
              <a:extLst>
                <a:ext uri="{FF2B5EF4-FFF2-40B4-BE49-F238E27FC236}">
                  <a16:creationId xmlns:a16="http://schemas.microsoft.com/office/drawing/2014/main" id="{00000000-0008-0000-0200-0000AC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" name="Rectangle 146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47" name="Group 149">
            <a:extLst>
              <a:ext uri="{FF2B5EF4-FFF2-40B4-BE49-F238E27FC236}">
                <a16:creationId xmlns:a16="http://schemas.microsoft.com/office/drawing/2014/main" id="{00000000-0008-0000-0200-000093AF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4969" name="Grafik 66">
              <a:extLst>
                <a:ext uri="{FF2B5EF4-FFF2-40B4-BE49-F238E27FC236}">
                  <a16:creationId xmlns:a16="http://schemas.microsoft.com/office/drawing/2014/main" id="{00000000-0008-0000-0200-0000A9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70" name="Grafik 67">
              <a:extLst>
                <a:ext uri="{FF2B5EF4-FFF2-40B4-BE49-F238E27FC236}">
                  <a16:creationId xmlns:a16="http://schemas.microsoft.com/office/drawing/2014/main" id="{00000000-0008-0000-0200-0000AA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0" name="Rectangle 150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71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49" name="Group 153">
            <a:extLst>
              <a:ext uri="{FF2B5EF4-FFF2-40B4-BE49-F238E27FC236}">
                <a16:creationId xmlns:a16="http://schemas.microsoft.com/office/drawing/2014/main" id="{00000000-0008-0000-0200-000095AF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4967" name="Grafik 64">
              <a:extLst>
                <a:ext uri="{FF2B5EF4-FFF2-40B4-BE49-F238E27FC236}">
                  <a16:creationId xmlns:a16="http://schemas.microsoft.com/office/drawing/2014/main" id="{00000000-0008-0000-0200-0000A7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68" name="Grafik 65">
              <a:extLst>
                <a:ext uri="{FF2B5EF4-FFF2-40B4-BE49-F238E27FC236}">
                  <a16:creationId xmlns:a16="http://schemas.microsoft.com/office/drawing/2014/main" id="{00000000-0008-0000-0200-0000A8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Rectangle 15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06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51" name="Group 157">
            <a:extLst>
              <a:ext uri="{FF2B5EF4-FFF2-40B4-BE49-F238E27FC236}">
                <a16:creationId xmlns:a16="http://schemas.microsoft.com/office/drawing/2014/main" id="{00000000-0008-0000-0200-000097AF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4965" name="Grafik 62">
              <a:extLst>
                <a:ext uri="{FF2B5EF4-FFF2-40B4-BE49-F238E27FC236}">
                  <a16:creationId xmlns:a16="http://schemas.microsoft.com/office/drawing/2014/main" id="{00000000-0008-0000-0200-0000A5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66" name="Grafik 63">
              <a:extLst>
                <a:ext uri="{FF2B5EF4-FFF2-40B4-BE49-F238E27FC236}">
                  <a16:creationId xmlns:a16="http://schemas.microsoft.com/office/drawing/2014/main" id="{00000000-0008-0000-0200-0000A6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4" name="Rectangle 158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53" name="Group 161">
            <a:extLst>
              <a:ext uri="{FF2B5EF4-FFF2-40B4-BE49-F238E27FC236}">
                <a16:creationId xmlns:a16="http://schemas.microsoft.com/office/drawing/2014/main" id="{00000000-0008-0000-0200-000099AF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4963" name="Grafik 60">
              <a:extLst>
                <a:ext uri="{FF2B5EF4-FFF2-40B4-BE49-F238E27FC236}">
                  <a16:creationId xmlns:a16="http://schemas.microsoft.com/office/drawing/2014/main" id="{00000000-0008-0000-0200-0000A3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64" name="Grafik 61">
              <a:extLst>
                <a:ext uri="{FF2B5EF4-FFF2-40B4-BE49-F238E27FC236}">
                  <a16:creationId xmlns:a16="http://schemas.microsoft.com/office/drawing/2014/main" id="{00000000-0008-0000-0200-0000A4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6" name="Rectangle 162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55" name="Group 165">
            <a:extLst>
              <a:ext uri="{FF2B5EF4-FFF2-40B4-BE49-F238E27FC236}">
                <a16:creationId xmlns:a16="http://schemas.microsoft.com/office/drawing/2014/main" id="{00000000-0008-0000-0200-00009BAF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4961" name="Grafik 58">
              <a:extLst>
                <a:ext uri="{FF2B5EF4-FFF2-40B4-BE49-F238E27FC236}">
                  <a16:creationId xmlns:a16="http://schemas.microsoft.com/office/drawing/2014/main" id="{00000000-0008-0000-0200-0000A1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62" name="Grafik 59">
              <a:extLst>
                <a:ext uri="{FF2B5EF4-FFF2-40B4-BE49-F238E27FC236}">
                  <a16:creationId xmlns:a16="http://schemas.microsoft.com/office/drawing/2014/main" id="{00000000-0008-0000-0200-0000A2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8" name="Rectangle 166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31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957" name="Group 169">
            <a:extLst>
              <a:ext uri="{FF2B5EF4-FFF2-40B4-BE49-F238E27FC236}">
                <a16:creationId xmlns:a16="http://schemas.microsoft.com/office/drawing/2014/main" id="{00000000-0008-0000-0200-00009DAF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4959" name="Grafik 56">
              <a:extLst>
                <a:ext uri="{FF2B5EF4-FFF2-40B4-BE49-F238E27FC236}">
                  <a16:creationId xmlns:a16="http://schemas.microsoft.com/office/drawing/2014/main" id="{00000000-0008-0000-0200-00009F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60" name="Grafik 57">
              <a:extLst>
                <a:ext uri="{FF2B5EF4-FFF2-40B4-BE49-F238E27FC236}">
                  <a16:creationId xmlns:a16="http://schemas.microsoft.com/office/drawing/2014/main" id="{00000000-0008-0000-0200-0000A0AF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0" name="Rectangle 170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38</xdr:row>
          <xdr:rowOff>57150</xdr:rowOff>
        </xdr:from>
        <xdr:to>
          <xdr:col>10</xdr:col>
          <xdr:colOff>19050</xdr:colOff>
          <xdr:row>38</xdr:row>
          <xdr:rowOff>171450</xdr:rowOff>
        </xdr:to>
        <xdr:sp macro="" textlink="">
          <xdr:nvSpPr>
            <xdr:cNvPr id="11318" name="ja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3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38</xdr:row>
          <xdr:rowOff>38100</xdr:rowOff>
        </xdr:from>
        <xdr:to>
          <xdr:col>10</xdr:col>
          <xdr:colOff>311150</xdr:colOff>
          <xdr:row>38</xdr:row>
          <xdr:rowOff>196850</xdr:rowOff>
        </xdr:to>
        <xdr:sp macro="" textlink="">
          <xdr:nvSpPr>
            <xdr:cNvPr id="11319" name="Check Box 55" descr="Ja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3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39</xdr:row>
          <xdr:rowOff>57150</xdr:rowOff>
        </xdr:from>
        <xdr:to>
          <xdr:col>10</xdr:col>
          <xdr:colOff>19050</xdr:colOff>
          <xdr:row>39</xdr:row>
          <xdr:rowOff>171450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3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40</xdr:row>
          <xdr:rowOff>57150</xdr:rowOff>
        </xdr:from>
        <xdr:to>
          <xdr:col>10</xdr:col>
          <xdr:colOff>19050</xdr:colOff>
          <xdr:row>40</xdr:row>
          <xdr:rowOff>171450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3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39</xdr:row>
          <xdr:rowOff>19050</xdr:rowOff>
        </xdr:from>
        <xdr:to>
          <xdr:col>10</xdr:col>
          <xdr:colOff>311150</xdr:colOff>
          <xdr:row>39</xdr:row>
          <xdr:rowOff>177800</xdr:rowOff>
        </xdr:to>
        <xdr:sp macro="" textlink="">
          <xdr:nvSpPr>
            <xdr:cNvPr id="11322" name="Check Box 58" descr="Ja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3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40</xdr:row>
          <xdr:rowOff>19050</xdr:rowOff>
        </xdr:from>
        <xdr:to>
          <xdr:col>10</xdr:col>
          <xdr:colOff>323850</xdr:colOff>
          <xdr:row>40</xdr:row>
          <xdr:rowOff>177800</xdr:rowOff>
        </xdr:to>
        <xdr:sp macro="" textlink="">
          <xdr:nvSpPr>
            <xdr:cNvPr id="11323" name="Check Box 59" descr="Ja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3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33</xdr:row>
          <xdr:rowOff>107950</xdr:rowOff>
        </xdr:from>
        <xdr:to>
          <xdr:col>10</xdr:col>
          <xdr:colOff>273050</xdr:colOff>
          <xdr:row>34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3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Schwemmentmistung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41</xdr:row>
          <xdr:rowOff>95250</xdr:rowOff>
        </xdr:from>
        <xdr:to>
          <xdr:col>9</xdr:col>
          <xdr:colOff>419100</xdr:colOff>
          <xdr:row>41</xdr:row>
          <xdr:rowOff>209550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3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Anzahl Bewohner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41</xdr:row>
          <xdr:rowOff>88900</xdr:rowOff>
        </xdr:from>
        <xdr:to>
          <xdr:col>12</xdr:col>
          <xdr:colOff>323850</xdr:colOff>
          <xdr:row>41</xdr:row>
          <xdr:rowOff>209550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3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einfache Verhältnisse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31750</xdr:rowOff>
        </xdr:from>
        <xdr:to>
          <xdr:col>10</xdr:col>
          <xdr:colOff>133350</xdr:colOff>
          <xdr:row>27</xdr:row>
          <xdr:rowOff>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3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1000 mm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</xdr:row>
          <xdr:rowOff>31750</xdr:rowOff>
        </xdr:from>
        <xdr:to>
          <xdr:col>8</xdr:col>
          <xdr:colOff>323850</xdr:colOff>
          <xdr:row>12</xdr:row>
          <xdr:rowOff>171450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3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Waschplatz Pferde ist an Kanalisation angeschlossen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26</xdr:row>
          <xdr:rowOff>31750</xdr:rowOff>
        </xdr:from>
        <xdr:to>
          <xdr:col>7</xdr:col>
          <xdr:colOff>215900</xdr:colOff>
          <xdr:row>27</xdr:row>
          <xdr:rowOff>2381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3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1200 mm (Normwert, wird standardmässig verwendet)</a:t>
              </a:r>
            </a:p>
          </xdr:txBody>
        </xdr:sp>
        <xdr:clientData fLocksWithSheet="0"/>
      </xdr:twoCellAnchor>
    </mc:Choice>
    <mc:Fallback/>
  </mc:AlternateContent>
  <xdr:twoCellAnchor>
    <xdr:from>
      <xdr:col>1</xdr:col>
      <xdr:colOff>28575</xdr:colOff>
      <xdr:row>0</xdr:row>
      <xdr:rowOff>180975</xdr:rowOff>
    </xdr:from>
    <xdr:to>
      <xdr:col>8</xdr:col>
      <xdr:colOff>133350</xdr:colOff>
      <xdr:row>0</xdr:row>
      <xdr:rowOff>828675</xdr:rowOff>
    </xdr:to>
    <xdr:grpSp>
      <xdr:nvGrpSpPr>
        <xdr:cNvPr id="43989" name="Group 138">
          <a:extLst>
            <a:ext uri="{FF2B5EF4-FFF2-40B4-BE49-F238E27FC236}">
              <a16:creationId xmlns:a16="http://schemas.microsoft.com/office/drawing/2014/main" id="{00000000-0008-0000-0300-0000D5AB0000}"/>
            </a:ext>
          </a:extLst>
        </xdr:cNvPr>
        <xdr:cNvGrpSpPr>
          <a:grpSpLocks noChangeAspect="1"/>
        </xdr:cNvGrpSpPr>
      </xdr:nvGrpSpPr>
      <xdr:grpSpPr bwMode="auto">
        <a:xfrm>
          <a:off x="132556" y="177800"/>
          <a:ext cx="5084763" cy="647700"/>
          <a:chOff x="55" y="41"/>
          <a:chExt cx="321" cy="43"/>
        </a:xfrm>
      </xdr:grpSpPr>
      <xdr:sp macro="" textlink="">
        <xdr:nvSpPr>
          <xdr:cNvPr id="43990" name="AutoShape 137">
            <a:extLst>
              <a:ext uri="{FF2B5EF4-FFF2-40B4-BE49-F238E27FC236}">
                <a16:creationId xmlns:a16="http://schemas.microsoft.com/office/drawing/2014/main" id="{00000000-0008-0000-0300-0000D6AB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3991" name="Group 141">
            <a:extLst>
              <a:ext uri="{FF2B5EF4-FFF2-40B4-BE49-F238E27FC236}">
                <a16:creationId xmlns:a16="http://schemas.microsoft.com/office/drawing/2014/main" id="{00000000-0008-0000-0300-0000D7AB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4021" name="Grafik 70">
              <a:extLst>
                <a:ext uri="{FF2B5EF4-FFF2-40B4-BE49-F238E27FC236}">
                  <a16:creationId xmlns:a16="http://schemas.microsoft.com/office/drawing/2014/main" id="{00000000-0008-0000-0300-0000F5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22" name="Grafik 71">
              <a:extLst>
                <a:ext uri="{FF2B5EF4-FFF2-40B4-BE49-F238E27FC236}">
                  <a16:creationId xmlns:a16="http://schemas.microsoft.com/office/drawing/2014/main" id="{00000000-0008-0000-0300-0000F6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8" name="Rectangle 142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8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3993" name="Group 145">
            <a:extLst>
              <a:ext uri="{FF2B5EF4-FFF2-40B4-BE49-F238E27FC236}">
                <a16:creationId xmlns:a16="http://schemas.microsoft.com/office/drawing/2014/main" id="{00000000-0008-0000-0300-0000D9AB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4019" name="Grafik 68">
              <a:extLst>
                <a:ext uri="{FF2B5EF4-FFF2-40B4-BE49-F238E27FC236}">
                  <a16:creationId xmlns:a16="http://schemas.microsoft.com/office/drawing/2014/main" id="{00000000-0008-0000-0300-0000F3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20" name="Grafik 69">
              <a:extLst>
                <a:ext uri="{FF2B5EF4-FFF2-40B4-BE49-F238E27FC236}">
                  <a16:creationId xmlns:a16="http://schemas.microsoft.com/office/drawing/2014/main" id="{00000000-0008-0000-0300-0000F4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0" name="Rectangle 146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3995" name="Group 149">
            <a:extLst>
              <a:ext uri="{FF2B5EF4-FFF2-40B4-BE49-F238E27FC236}">
                <a16:creationId xmlns:a16="http://schemas.microsoft.com/office/drawing/2014/main" id="{00000000-0008-0000-0300-0000DBAB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4017" name="Grafik 66">
              <a:extLst>
                <a:ext uri="{FF2B5EF4-FFF2-40B4-BE49-F238E27FC236}">
                  <a16:creationId xmlns:a16="http://schemas.microsoft.com/office/drawing/2014/main" id="{00000000-0008-0000-0300-0000F1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18" name="Grafik 67">
              <a:extLst>
                <a:ext uri="{FF2B5EF4-FFF2-40B4-BE49-F238E27FC236}">
                  <a16:creationId xmlns:a16="http://schemas.microsoft.com/office/drawing/2014/main" id="{00000000-0008-0000-0300-0000F2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2" name="Rectangle 150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6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3997" name="Group 153">
            <a:extLst>
              <a:ext uri="{FF2B5EF4-FFF2-40B4-BE49-F238E27FC236}">
                <a16:creationId xmlns:a16="http://schemas.microsoft.com/office/drawing/2014/main" id="{00000000-0008-0000-0300-0000DDAB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4015" name="Grafik 64">
              <a:extLst>
                <a:ext uri="{FF2B5EF4-FFF2-40B4-BE49-F238E27FC236}">
                  <a16:creationId xmlns:a16="http://schemas.microsoft.com/office/drawing/2014/main" id="{00000000-0008-0000-0300-0000EF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16" name="Grafik 65">
              <a:extLst>
                <a:ext uri="{FF2B5EF4-FFF2-40B4-BE49-F238E27FC236}">
                  <a16:creationId xmlns:a16="http://schemas.microsoft.com/office/drawing/2014/main" id="{00000000-0008-0000-0300-0000F0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4" name="Rectangle 154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05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3999" name="Group 157">
            <a:extLst>
              <a:ext uri="{FF2B5EF4-FFF2-40B4-BE49-F238E27FC236}">
                <a16:creationId xmlns:a16="http://schemas.microsoft.com/office/drawing/2014/main" id="{00000000-0008-0000-0300-0000DFAB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4013" name="Grafik 62">
              <a:extLst>
                <a:ext uri="{FF2B5EF4-FFF2-40B4-BE49-F238E27FC236}">
                  <a16:creationId xmlns:a16="http://schemas.microsoft.com/office/drawing/2014/main" id="{00000000-0008-0000-0300-0000ED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14" name="Grafik 63">
              <a:extLst>
                <a:ext uri="{FF2B5EF4-FFF2-40B4-BE49-F238E27FC236}">
                  <a16:creationId xmlns:a16="http://schemas.microsoft.com/office/drawing/2014/main" id="{00000000-0008-0000-0300-0000EE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6" name="Rectangle 158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44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001" name="Group 161">
            <a:extLst>
              <a:ext uri="{FF2B5EF4-FFF2-40B4-BE49-F238E27FC236}">
                <a16:creationId xmlns:a16="http://schemas.microsoft.com/office/drawing/2014/main" id="{00000000-0008-0000-0300-0000E1AB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4011" name="Grafik 60">
              <a:extLst>
                <a:ext uri="{FF2B5EF4-FFF2-40B4-BE49-F238E27FC236}">
                  <a16:creationId xmlns:a16="http://schemas.microsoft.com/office/drawing/2014/main" id="{00000000-0008-0000-0300-0000EB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12" name="Grafik 61">
              <a:extLst>
                <a:ext uri="{FF2B5EF4-FFF2-40B4-BE49-F238E27FC236}">
                  <a16:creationId xmlns:a16="http://schemas.microsoft.com/office/drawing/2014/main" id="{00000000-0008-0000-0300-0000EC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8" name="Rectangle 162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281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003" name="Group 165">
            <a:extLst>
              <a:ext uri="{FF2B5EF4-FFF2-40B4-BE49-F238E27FC236}">
                <a16:creationId xmlns:a16="http://schemas.microsoft.com/office/drawing/2014/main" id="{00000000-0008-0000-0300-0000E3AB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4009" name="Grafik 58">
              <a:extLst>
                <a:ext uri="{FF2B5EF4-FFF2-40B4-BE49-F238E27FC236}">
                  <a16:creationId xmlns:a16="http://schemas.microsoft.com/office/drawing/2014/main" id="{00000000-0008-0000-0300-0000E9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10" name="Grafik 59">
              <a:extLst>
                <a:ext uri="{FF2B5EF4-FFF2-40B4-BE49-F238E27FC236}">
                  <a16:creationId xmlns:a16="http://schemas.microsoft.com/office/drawing/2014/main" id="{00000000-0008-0000-0300-0000EA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30" name="Rectangle 166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16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4005" name="Group 169">
            <a:extLst>
              <a:ext uri="{FF2B5EF4-FFF2-40B4-BE49-F238E27FC236}">
                <a16:creationId xmlns:a16="http://schemas.microsoft.com/office/drawing/2014/main" id="{00000000-0008-0000-0300-0000E5AB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4007" name="Grafik 56">
              <a:extLst>
                <a:ext uri="{FF2B5EF4-FFF2-40B4-BE49-F238E27FC236}">
                  <a16:creationId xmlns:a16="http://schemas.microsoft.com/office/drawing/2014/main" id="{00000000-0008-0000-0300-0000E7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008" name="Grafik 57">
              <a:extLst>
                <a:ext uri="{FF2B5EF4-FFF2-40B4-BE49-F238E27FC236}">
                  <a16:creationId xmlns:a16="http://schemas.microsoft.com/office/drawing/2014/main" id="{00000000-0008-0000-0300-0000E8AB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32" name="Rectangle 170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171450</xdr:rowOff>
    </xdr:from>
    <xdr:to>
      <xdr:col>10</xdr:col>
      <xdr:colOff>104775</xdr:colOff>
      <xdr:row>0</xdr:row>
      <xdr:rowOff>819150</xdr:rowOff>
    </xdr:to>
    <xdr:grpSp>
      <xdr:nvGrpSpPr>
        <xdr:cNvPr id="45964" name="Group 138">
          <a:extLst>
            <a:ext uri="{FF2B5EF4-FFF2-40B4-BE49-F238E27FC236}">
              <a16:creationId xmlns:a16="http://schemas.microsoft.com/office/drawing/2014/main" id="{00000000-0008-0000-0400-00008CB30000}"/>
            </a:ext>
          </a:extLst>
        </xdr:cNvPr>
        <xdr:cNvGrpSpPr>
          <a:grpSpLocks noChangeAspect="1"/>
        </xdr:cNvGrpSpPr>
      </xdr:nvGrpSpPr>
      <xdr:grpSpPr bwMode="auto">
        <a:xfrm>
          <a:off x="158750" y="171450"/>
          <a:ext cx="5050631" cy="647700"/>
          <a:chOff x="55" y="41"/>
          <a:chExt cx="321" cy="43"/>
        </a:xfrm>
      </xdr:grpSpPr>
      <xdr:sp macro="" textlink="">
        <xdr:nvSpPr>
          <xdr:cNvPr id="45965" name="AutoShape 137">
            <a:extLst>
              <a:ext uri="{FF2B5EF4-FFF2-40B4-BE49-F238E27FC236}">
                <a16:creationId xmlns:a16="http://schemas.microsoft.com/office/drawing/2014/main" id="{00000000-0008-0000-0400-00008DB3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5966" name="Group 141">
            <a:extLst>
              <a:ext uri="{FF2B5EF4-FFF2-40B4-BE49-F238E27FC236}">
                <a16:creationId xmlns:a16="http://schemas.microsoft.com/office/drawing/2014/main" id="{00000000-0008-0000-0400-00008EB3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5996" name="Grafik 70">
              <a:extLst>
                <a:ext uri="{FF2B5EF4-FFF2-40B4-BE49-F238E27FC236}">
                  <a16:creationId xmlns:a16="http://schemas.microsoft.com/office/drawing/2014/main" id="{00000000-0008-0000-0400-0000AC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97" name="Grafik 71">
              <a:extLst>
                <a:ext uri="{FF2B5EF4-FFF2-40B4-BE49-F238E27FC236}">
                  <a16:creationId xmlns:a16="http://schemas.microsoft.com/office/drawing/2014/main" id="{00000000-0008-0000-0400-0000AD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angle 142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68" name="Group 145">
            <a:extLst>
              <a:ext uri="{FF2B5EF4-FFF2-40B4-BE49-F238E27FC236}">
                <a16:creationId xmlns:a16="http://schemas.microsoft.com/office/drawing/2014/main" id="{00000000-0008-0000-0400-000090B3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5994" name="Grafik 68">
              <a:extLst>
                <a:ext uri="{FF2B5EF4-FFF2-40B4-BE49-F238E27FC236}">
                  <a16:creationId xmlns:a16="http://schemas.microsoft.com/office/drawing/2014/main" id="{00000000-0008-0000-0400-0000AA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95" name="Grafik 69">
              <a:extLst>
                <a:ext uri="{FF2B5EF4-FFF2-40B4-BE49-F238E27FC236}">
                  <a16:creationId xmlns:a16="http://schemas.microsoft.com/office/drawing/2014/main" id="{00000000-0008-0000-0400-0000AB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" name="Rectangle 146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70" name="Group 149">
            <a:extLst>
              <a:ext uri="{FF2B5EF4-FFF2-40B4-BE49-F238E27FC236}">
                <a16:creationId xmlns:a16="http://schemas.microsoft.com/office/drawing/2014/main" id="{00000000-0008-0000-0400-000092B3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5992" name="Grafik 66">
              <a:extLst>
                <a:ext uri="{FF2B5EF4-FFF2-40B4-BE49-F238E27FC236}">
                  <a16:creationId xmlns:a16="http://schemas.microsoft.com/office/drawing/2014/main" id="{00000000-0008-0000-0400-0000A8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93" name="Grafik 67">
              <a:extLst>
                <a:ext uri="{FF2B5EF4-FFF2-40B4-BE49-F238E27FC236}">
                  <a16:creationId xmlns:a16="http://schemas.microsoft.com/office/drawing/2014/main" id="{00000000-0008-0000-0400-0000A9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0" name="Rectangle 150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70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72" name="Group 153">
            <a:extLst>
              <a:ext uri="{FF2B5EF4-FFF2-40B4-BE49-F238E27FC236}">
                <a16:creationId xmlns:a16="http://schemas.microsoft.com/office/drawing/2014/main" id="{00000000-0008-0000-0400-000094B3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5990" name="Grafik 64">
              <a:extLst>
                <a:ext uri="{FF2B5EF4-FFF2-40B4-BE49-F238E27FC236}">
                  <a16:creationId xmlns:a16="http://schemas.microsoft.com/office/drawing/2014/main" id="{00000000-0008-0000-0400-0000A6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91" name="Grafik 65">
              <a:extLst>
                <a:ext uri="{FF2B5EF4-FFF2-40B4-BE49-F238E27FC236}">
                  <a16:creationId xmlns:a16="http://schemas.microsoft.com/office/drawing/2014/main" id="{00000000-0008-0000-0400-0000A7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Rectangle 154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06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74" name="Group 157">
            <a:extLst>
              <a:ext uri="{FF2B5EF4-FFF2-40B4-BE49-F238E27FC236}">
                <a16:creationId xmlns:a16="http://schemas.microsoft.com/office/drawing/2014/main" id="{00000000-0008-0000-0400-000096B3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5988" name="Grafik 62">
              <a:extLst>
                <a:ext uri="{FF2B5EF4-FFF2-40B4-BE49-F238E27FC236}">
                  <a16:creationId xmlns:a16="http://schemas.microsoft.com/office/drawing/2014/main" id="{00000000-0008-0000-0400-0000A4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89" name="Grafik 63">
              <a:extLst>
                <a:ext uri="{FF2B5EF4-FFF2-40B4-BE49-F238E27FC236}">
                  <a16:creationId xmlns:a16="http://schemas.microsoft.com/office/drawing/2014/main" id="{00000000-0008-0000-0400-0000A5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4" name="Rectangle 158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76" name="Group 161">
            <a:extLst>
              <a:ext uri="{FF2B5EF4-FFF2-40B4-BE49-F238E27FC236}">
                <a16:creationId xmlns:a16="http://schemas.microsoft.com/office/drawing/2014/main" id="{00000000-0008-0000-0400-000098B3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5986" name="Grafik 60">
              <a:extLst>
                <a:ext uri="{FF2B5EF4-FFF2-40B4-BE49-F238E27FC236}">
                  <a16:creationId xmlns:a16="http://schemas.microsoft.com/office/drawing/2014/main" id="{00000000-0008-0000-0400-0000A2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87" name="Grafik 61">
              <a:extLst>
                <a:ext uri="{FF2B5EF4-FFF2-40B4-BE49-F238E27FC236}">
                  <a16:creationId xmlns:a16="http://schemas.microsoft.com/office/drawing/2014/main" id="{00000000-0008-0000-0400-0000A3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6" name="Rectangle 162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282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78" name="Group 165">
            <a:extLst>
              <a:ext uri="{FF2B5EF4-FFF2-40B4-BE49-F238E27FC236}">
                <a16:creationId xmlns:a16="http://schemas.microsoft.com/office/drawing/2014/main" id="{00000000-0008-0000-0400-00009AB3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5984" name="Grafik 58">
              <a:extLst>
                <a:ext uri="{FF2B5EF4-FFF2-40B4-BE49-F238E27FC236}">
                  <a16:creationId xmlns:a16="http://schemas.microsoft.com/office/drawing/2014/main" id="{00000000-0008-0000-0400-0000A0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85" name="Grafik 59">
              <a:extLst>
                <a:ext uri="{FF2B5EF4-FFF2-40B4-BE49-F238E27FC236}">
                  <a16:creationId xmlns:a16="http://schemas.microsoft.com/office/drawing/2014/main" id="{00000000-0008-0000-0400-0000A1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8" name="Rectangle 166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319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5980" name="Group 169">
            <a:extLst>
              <a:ext uri="{FF2B5EF4-FFF2-40B4-BE49-F238E27FC236}">
                <a16:creationId xmlns:a16="http://schemas.microsoft.com/office/drawing/2014/main" id="{00000000-0008-0000-0400-00009CB3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5982" name="Grafik 56">
              <a:extLst>
                <a:ext uri="{FF2B5EF4-FFF2-40B4-BE49-F238E27FC236}">
                  <a16:creationId xmlns:a16="http://schemas.microsoft.com/office/drawing/2014/main" id="{00000000-0008-0000-0400-00009E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983" name="Grafik 57">
              <a:extLst>
                <a:ext uri="{FF2B5EF4-FFF2-40B4-BE49-F238E27FC236}">
                  <a16:creationId xmlns:a16="http://schemas.microsoft.com/office/drawing/2014/main" id="{00000000-0008-0000-0400-00009FB3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0" name="Rectangle 170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71"/>
            <a:ext cx="1" cy="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845820</xdr:colOff>
      <xdr:row>3</xdr:row>
      <xdr:rowOff>9525</xdr:rowOff>
    </xdr:from>
    <xdr:to>
      <xdr:col>7</xdr:col>
      <xdr:colOff>1083945</xdr:colOff>
      <xdr:row>5</xdr:row>
      <xdr:rowOff>19050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00000000-0008-0000-0500-000013400000}"/>
            </a:ext>
          </a:extLst>
        </xdr:cNvPr>
        <xdr:cNvSpPr txBox="1">
          <a:spLocks noChangeArrowheads="1"/>
        </xdr:cNvSpPr>
      </xdr:nvSpPr>
      <xdr:spPr bwMode="auto">
        <a:xfrm>
          <a:off x="5410200" y="495300"/>
          <a:ext cx="4229100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Hofdüngeranfall und Stroheinsatz pro Jahr</a:t>
          </a:r>
          <a:endParaRPr lang="de-CH"/>
        </a:p>
      </xdr:txBody>
    </xdr:sp>
    <xdr:clientData/>
  </xdr:twoCellAnchor>
  <xdr:twoCellAnchor>
    <xdr:from>
      <xdr:col>4</xdr:col>
      <xdr:colOff>253365</xdr:colOff>
      <xdr:row>74</xdr:row>
      <xdr:rowOff>0</xdr:rowOff>
    </xdr:from>
    <xdr:to>
      <xdr:col>8</xdr:col>
      <xdr:colOff>112397</xdr:colOff>
      <xdr:row>76</xdr:row>
      <xdr:rowOff>9787</xdr:rowOff>
    </xdr:to>
    <xdr:sp macro="" textlink="">
      <xdr:nvSpPr>
        <xdr:cNvPr id="16406" name="Text Box 22">
          <a:extLst>
            <a:ext uri="{FF2B5EF4-FFF2-40B4-BE49-F238E27FC236}">
              <a16:creationId xmlns:a16="http://schemas.microsoft.com/office/drawing/2014/main" id="{00000000-0008-0000-0500-000016400000}"/>
            </a:ext>
          </a:extLst>
        </xdr:cNvPr>
        <xdr:cNvSpPr txBox="1">
          <a:spLocks noChangeArrowheads="1"/>
        </xdr:cNvSpPr>
      </xdr:nvSpPr>
      <xdr:spPr bwMode="auto">
        <a:xfrm>
          <a:off x="5762625" y="12896850"/>
          <a:ext cx="4019550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Abwasseranfall Betrieb und Haus pro Jahr</a:t>
          </a:r>
          <a:endParaRPr lang="de-CH"/>
        </a:p>
      </xdr:txBody>
    </xdr:sp>
    <xdr:clientData/>
  </xdr:twoCellAnchor>
  <xdr:twoCellAnchor>
    <xdr:from>
      <xdr:col>0</xdr:col>
      <xdr:colOff>142875</xdr:colOff>
      <xdr:row>1</xdr:row>
      <xdr:rowOff>38100</xdr:rowOff>
    </xdr:from>
    <xdr:to>
      <xdr:col>3</xdr:col>
      <xdr:colOff>438150</xdr:colOff>
      <xdr:row>4</xdr:row>
      <xdr:rowOff>85725</xdr:rowOff>
    </xdr:to>
    <xdr:grpSp>
      <xdr:nvGrpSpPr>
        <xdr:cNvPr id="48144" name="Group 138">
          <a:extLst>
            <a:ext uri="{FF2B5EF4-FFF2-40B4-BE49-F238E27FC236}">
              <a16:creationId xmlns:a16="http://schemas.microsoft.com/office/drawing/2014/main" id="{00000000-0008-0000-0500-000010BC0000}"/>
            </a:ext>
          </a:extLst>
        </xdr:cNvPr>
        <xdr:cNvGrpSpPr>
          <a:grpSpLocks noChangeAspect="1"/>
        </xdr:cNvGrpSpPr>
      </xdr:nvGrpSpPr>
      <xdr:grpSpPr bwMode="auto">
        <a:xfrm>
          <a:off x="139700" y="203200"/>
          <a:ext cx="5086350" cy="539750"/>
          <a:chOff x="55" y="41"/>
          <a:chExt cx="321" cy="46"/>
        </a:xfrm>
      </xdr:grpSpPr>
      <xdr:sp macro="" textlink="">
        <xdr:nvSpPr>
          <xdr:cNvPr id="48179" name="AutoShape 137">
            <a:extLst>
              <a:ext uri="{FF2B5EF4-FFF2-40B4-BE49-F238E27FC236}">
                <a16:creationId xmlns:a16="http://schemas.microsoft.com/office/drawing/2014/main" id="{00000000-0008-0000-0500-000033BC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180" name="Group 141">
            <a:extLst>
              <a:ext uri="{FF2B5EF4-FFF2-40B4-BE49-F238E27FC236}">
                <a16:creationId xmlns:a16="http://schemas.microsoft.com/office/drawing/2014/main" id="{00000000-0008-0000-0500-000034BC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8210" name="Grafik 70">
              <a:extLst>
                <a:ext uri="{FF2B5EF4-FFF2-40B4-BE49-F238E27FC236}">
                  <a16:creationId xmlns:a16="http://schemas.microsoft.com/office/drawing/2014/main" id="{00000000-0008-0000-0500-000052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211" name="Grafik 71">
              <a:extLst>
                <a:ext uri="{FF2B5EF4-FFF2-40B4-BE49-F238E27FC236}">
                  <a16:creationId xmlns:a16="http://schemas.microsoft.com/office/drawing/2014/main" id="{00000000-0008-0000-0500-000053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3" name="Rectangle 142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89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82" name="Group 145">
            <a:extLst>
              <a:ext uri="{FF2B5EF4-FFF2-40B4-BE49-F238E27FC236}">
                <a16:creationId xmlns:a16="http://schemas.microsoft.com/office/drawing/2014/main" id="{00000000-0008-0000-0500-000036BC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8208" name="Grafik 68">
              <a:extLst>
                <a:ext uri="{FF2B5EF4-FFF2-40B4-BE49-F238E27FC236}">
                  <a16:creationId xmlns:a16="http://schemas.microsoft.com/office/drawing/2014/main" id="{00000000-0008-0000-0500-000050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209" name="Grafik 69">
              <a:extLst>
                <a:ext uri="{FF2B5EF4-FFF2-40B4-BE49-F238E27FC236}">
                  <a16:creationId xmlns:a16="http://schemas.microsoft.com/office/drawing/2014/main" id="{00000000-0008-0000-0500-000051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5" name="Rectangle 146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84" name="Group 149">
            <a:extLst>
              <a:ext uri="{FF2B5EF4-FFF2-40B4-BE49-F238E27FC236}">
                <a16:creationId xmlns:a16="http://schemas.microsoft.com/office/drawing/2014/main" id="{00000000-0008-0000-0500-000038BC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8206" name="Grafik 66">
              <a:extLst>
                <a:ext uri="{FF2B5EF4-FFF2-40B4-BE49-F238E27FC236}">
                  <a16:creationId xmlns:a16="http://schemas.microsoft.com/office/drawing/2014/main" id="{00000000-0008-0000-0500-00004E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207" name="Grafik 67">
              <a:extLst>
                <a:ext uri="{FF2B5EF4-FFF2-40B4-BE49-F238E27FC236}">
                  <a16:creationId xmlns:a16="http://schemas.microsoft.com/office/drawing/2014/main" id="{00000000-0008-0000-0500-00004F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7" name="Rectangle 150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9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86" name="Group 153">
            <a:extLst>
              <a:ext uri="{FF2B5EF4-FFF2-40B4-BE49-F238E27FC236}">
                <a16:creationId xmlns:a16="http://schemas.microsoft.com/office/drawing/2014/main" id="{00000000-0008-0000-0500-00003ABC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8204" name="Grafik 64">
              <a:extLst>
                <a:ext uri="{FF2B5EF4-FFF2-40B4-BE49-F238E27FC236}">
                  <a16:creationId xmlns:a16="http://schemas.microsoft.com/office/drawing/2014/main" id="{00000000-0008-0000-0500-00004C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205" name="Grafik 65">
              <a:extLst>
                <a:ext uri="{FF2B5EF4-FFF2-40B4-BE49-F238E27FC236}">
                  <a16:creationId xmlns:a16="http://schemas.microsoft.com/office/drawing/2014/main" id="{00000000-0008-0000-0500-00004D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9" name="Rectangle 154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206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88" name="Group 157">
            <a:extLst>
              <a:ext uri="{FF2B5EF4-FFF2-40B4-BE49-F238E27FC236}">
                <a16:creationId xmlns:a16="http://schemas.microsoft.com/office/drawing/2014/main" id="{00000000-0008-0000-0500-00003CBC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8202" name="Grafik 62">
              <a:extLst>
                <a:ext uri="{FF2B5EF4-FFF2-40B4-BE49-F238E27FC236}">
                  <a16:creationId xmlns:a16="http://schemas.microsoft.com/office/drawing/2014/main" id="{00000000-0008-0000-0500-00004A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203" name="Grafik 63">
              <a:extLst>
                <a:ext uri="{FF2B5EF4-FFF2-40B4-BE49-F238E27FC236}">
                  <a16:creationId xmlns:a16="http://schemas.microsoft.com/office/drawing/2014/main" id="{00000000-0008-0000-0500-00004B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1" name="Rectangle 158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90" name="Group 161">
            <a:extLst>
              <a:ext uri="{FF2B5EF4-FFF2-40B4-BE49-F238E27FC236}">
                <a16:creationId xmlns:a16="http://schemas.microsoft.com/office/drawing/2014/main" id="{00000000-0008-0000-0500-00003EBC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8200" name="Grafik 60">
              <a:extLst>
                <a:ext uri="{FF2B5EF4-FFF2-40B4-BE49-F238E27FC236}">
                  <a16:creationId xmlns:a16="http://schemas.microsoft.com/office/drawing/2014/main" id="{00000000-0008-0000-0500-000048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201" name="Grafik 61">
              <a:extLst>
                <a:ext uri="{FF2B5EF4-FFF2-40B4-BE49-F238E27FC236}">
                  <a16:creationId xmlns:a16="http://schemas.microsoft.com/office/drawing/2014/main" id="{00000000-0008-0000-0500-000049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3" name="Rectangle 162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282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92" name="Group 165">
            <a:extLst>
              <a:ext uri="{FF2B5EF4-FFF2-40B4-BE49-F238E27FC236}">
                <a16:creationId xmlns:a16="http://schemas.microsoft.com/office/drawing/2014/main" id="{00000000-0008-0000-0500-000040BC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8198" name="Grafik 58">
              <a:extLst>
                <a:ext uri="{FF2B5EF4-FFF2-40B4-BE49-F238E27FC236}">
                  <a16:creationId xmlns:a16="http://schemas.microsoft.com/office/drawing/2014/main" id="{00000000-0008-0000-0500-000046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99" name="Grafik 59">
              <a:extLst>
                <a:ext uri="{FF2B5EF4-FFF2-40B4-BE49-F238E27FC236}">
                  <a16:creationId xmlns:a16="http://schemas.microsoft.com/office/drawing/2014/main" id="{00000000-0008-0000-0500-000047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5" name="Rectangle 166"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319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94" name="Group 169">
            <a:extLst>
              <a:ext uri="{FF2B5EF4-FFF2-40B4-BE49-F238E27FC236}">
                <a16:creationId xmlns:a16="http://schemas.microsoft.com/office/drawing/2014/main" id="{00000000-0008-0000-0500-000042BC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8196" name="Grafik 56">
              <a:extLst>
                <a:ext uri="{FF2B5EF4-FFF2-40B4-BE49-F238E27FC236}">
                  <a16:creationId xmlns:a16="http://schemas.microsoft.com/office/drawing/2014/main" id="{00000000-0008-0000-0500-000044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97" name="Grafik 57">
              <a:extLst>
                <a:ext uri="{FF2B5EF4-FFF2-40B4-BE49-F238E27FC236}">
                  <a16:creationId xmlns:a16="http://schemas.microsoft.com/office/drawing/2014/main" id="{00000000-0008-0000-0500-000045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57" name="Rectangle 170"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357" y="73"/>
            <a:ext cx="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  <xdr:twoCellAnchor>
    <xdr:from>
      <xdr:col>0</xdr:col>
      <xdr:colOff>133350</xdr:colOff>
      <xdr:row>72</xdr:row>
      <xdr:rowOff>19050</xdr:rowOff>
    </xdr:from>
    <xdr:to>
      <xdr:col>3</xdr:col>
      <xdr:colOff>419100</xdr:colOff>
      <xdr:row>75</xdr:row>
      <xdr:rowOff>57150</xdr:rowOff>
    </xdr:to>
    <xdr:grpSp>
      <xdr:nvGrpSpPr>
        <xdr:cNvPr id="48145" name="Group 138">
          <a:extLst>
            <a:ext uri="{FF2B5EF4-FFF2-40B4-BE49-F238E27FC236}">
              <a16:creationId xmlns:a16="http://schemas.microsoft.com/office/drawing/2014/main" id="{00000000-0008-0000-0500-000011BC0000}"/>
            </a:ext>
          </a:extLst>
        </xdr:cNvPr>
        <xdr:cNvGrpSpPr>
          <a:grpSpLocks noChangeAspect="1"/>
        </xdr:cNvGrpSpPr>
      </xdr:nvGrpSpPr>
      <xdr:grpSpPr bwMode="auto">
        <a:xfrm>
          <a:off x="133350" y="12185650"/>
          <a:ext cx="5073650" cy="533400"/>
          <a:chOff x="55" y="41"/>
          <a:chExt cx="321" cy="43"/>
        </a:xfrm>
      </xdr:grpSpPr>
      <xdr:sp macro="" textlink="">
        <xdr:nvSpPr>
          <xdr:cNvPr id="48146" name="AutoShape 137">
            <a:extLst>
              <a:ext uri="{FF2B5EF4-FFF2-40B4-BE49-F238E27FC236}">
                <a16:creationId xmlns:a16="http://schemas.microsoft.com/office/drawing/2014/main" id="{00000000-0008-0000-0500-000012BC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5" y="41"/>
            <a:ext cx="321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147" name="Group 141">
            <a:extLst>
              <a:ext uri="{FF2B5EF4-FFF2-40B4-BE49-F238E27FC236}">
                <a16:creationId xmlns:a16="http://schemas.microsoft.com/office/drawing/2014/main" id="{00000000-0008-0000-0500-000013BC0000}"/>
              </a:ext>
            </a:extLst>
          </xdr:cNvPr>
          <xdr:cNvGrpSpPr>
            <a:grpSpLocks/>
          </xdr:cNvGrpSpPr>
        </xdr:nvGrpSpPr>
        <xdr:grpSpPr bwMode="auto">
          <a:xfrm>
            <a:off x="55" y="41"/>
            <a:ext cx="34" cy="43"/>
            <a:chOff x="55" y="41"/>
            <a:chExt cx="34" cy="43"/>
          </a:xfrm>
        </xdr:grpSpPr>
        <xdr:pic>
          <xdr:nvPicPr>
            <xdr:cNvPr id="48177" name="Grafik 70">
              <a:extLst>
                <a:ext uri="{FF2B5EF4-FFF2-40B4-BE49-F238E27FC236}">
                  <a16:creationId xmlns:a16="http://schemas.microsoft.com/office/drawing/2014/main" id="{00000000-0008-0000-0500-000031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78" name="Grafik 71">
              <a:extLst>
                <a:ext uri="{FF2B5EF4-FFF2-40B4-BE49-F238E27FC236}">
                  <a16:creationId xmlns:a16="http://schemas.microsoft.com/office/drawing/2014/main" id="{00000000-0008-0000-0500-000032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77" name="Rectangle 142">
            <a:extLst>
              <a:ext uri="{FF2B5EF4-FFF2-40B4-BE49-F238E27FC236}">
                <a16:creationId xmlns:a16="http://schemas.microsoft.com/office/drawing/2014/main" id="{00000000-0008-0000-0500-00004D000000}"/>
              </a:ext>
            </a:extLst>
          </xdr:cNvPr>
          <xdr:cNvSpPr>
            <a:spLocks noChangeArrowheads="1"/>
          </xdr:cNvSpPr>
        </xdr:nvSpPr>
        <xdr:spPr bwMode="auto">
          <a:xfrm>
            <a:off x="92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49" name="Group 145">
            <a:extLst>
              <a:ext uri="{FF2B5EF4-FFF2-40B4-BE49-F238E27FC236}">
                <a16:creationId xmlns:a16="http://schemas.microsoft.com/office/drawing/2014/main" id="{00000000-0008-0000-0500-000015BC0000}"/>
              </a:ext>
            </a:extLst>
          </xdr:cNvPr>
          <xdr:cNvGrpSpPr>
            <a:grpSpLocks/>
          </xdr:cNvGrpSpPr>
        </xdr:nvGrpSpPr>
        <xdr:grpSpPr bwMode="auto">
          <a:xfrm>
            <a:off x="93" y="41"/>
            <a:ext cx="34" cy="43"/>
            <a:chOff x="93" y="41"/>
            <a:chExt cx="34" cy="43"/>
          </a:xfrm>
        </xdr:grpSpPr>
        <xdr:pic>
          <xdr:nvPicPr>
            <xdr:cNvPr id="48175" name="Grafik 68">
              <a:extLst>
                <a:ext uri="{FF2B5EF4-FFF2-40B4-BE49-F238E27FC236}">
                  <a16:creationId xmlns:a16="http://schemas.microsoft.com/office/drawing/2014/main" id="{00000000-0008-0000-0500-00002F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76" name="Grafik 69">
              <a:extLst>
                <a:ext uri="{FF2B5EF4-FFF2-40B4-BE49-F238E27FC236}">
                  <a16:creationId xmlns:a16="http://schemas.microsoft.com/office/drawing/2014/main" id="{00000000-0008-0000-0500-000030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3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79" name="Rectangle 146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51" name="Group 149">
            <a:extLst>
              <a:ext uri="{FF2B5EF4-FFF2-40B4-BE49-F238E27FC236}">
                <a16:creationId xmlns:a16="http://schemas.microsoft.com/office/drawing/2014/main" id="{00000000-0008-0000-0500-000017BC0000}"/>
              </a:ext>
            </a:extLst>
          </xdr:cNvPr>
          <xdr:cNvGrpSpPr>
            <a:grpSpLocks/>
          </xdr:cNvGrpSpPr>
        </xdr:nvGrpSpPr>
        <xdr:grpSpPr bwMode="auto">
          <a:xfrm>
            <a:off x="130" y="41"/>
            <a:ext cx="39" cy="43"/>
            <a:chOff x="130" y="41"/>
            <a:chExt cx="39" cy="43"/>
          </a:xfrm>
        </xdr:grpSpPr>
        <xdr:pic>
          <xdr:nvPicPr>
            <xdr:cNvPr id="48173" name="Grafik 66">
              <a:extLst>
                <a:ext uri="{FF2B5EF4-FFF2-40B4-BE49-F238E27FC236}">
                  <a16:creationId xmlns:a16="http://schemas.microsoft.com/office/drawing/2014/main" id="{00000000-0008-0000-0500-00002D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74" name="Grafik 67">
              <a:extLst>
                <a:ext uri="{FF2B5EF4-FFF2-40B4-BE49-F238E27FC236}">
                  <a16:creationId xmlns:a16="http://schemas.microsoft.com/office/drawing/2014/main" id="{00000000-0008-0000-0500-00002E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" y="41"/>
              <a:ext cx="39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1" name="Rectangle 150">
            <a:extLst>
              <a:ext uri="{FF2B5EF4-FFF2-40B4-BE49-F238E27FC236}">
                <a16:creationId xmlns:a16="http://schemas.microsoft.com/office/drawing/2014/main" id="{00000000-0008-0000-05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70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53" name="Group 153">
            <a:extLst>
              <a:ext uri="{FF2B5EF4-FFF2-40B4-BE49-F238E27FC236}">
                <a16:creationId xmlns:a16="http://schemas.microsoft.com/office/drawing/2014/main" id="{00000000-0008-0000-0500-000019BC0000}"/>
              </a:ext>
            </a:extLst>
          </xdr:cNvPr>
          <xdr:cNvGrpSpPr>
            <a:grpSpLocks/>
          </xdr:cNvGrpSpPr>
        </xdr:nvGrpSpPr>
        <xdr:grpSpPr bwMode="auto">
          <a:xfrm>
            <a:off x="172" y="41"/>
            <a:ext cx="34" cy="43"/>
            <a:chOff x="172" y="41"/>
            <a:chExt cx="34" cy="43"/>
          </a:xfrm>
        </xdr:grpSpPr>
        <xdr:pic>
          <xdr:nvPicPr>
            <xdr:cNvPr id="48171" name="Grafik 64">
              <a:extLst>
                <a:ext uri="{FF2B5EF4-FFF2-40B4-BE49-F238E27FC236}">
                  <a16:creationId xmlns:a16="http://schemas.microsoft.com/office/drawing/2014/main" id="{00000000-0008-0000-0500-00002B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72" name="Grafik 65">
              <a:extLst>
                <a:ext uri="{FF2B5EF4-FFF2-40B4-BE49-F238E27FC236}">
                  <a16:creationId xmlns:a16="http://schemas.microsoft.com/office/drawing/2014/main" id="{00000000-0008-0000-0500-00002C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" y="41"/>
              <a:ext cx="34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3" name="Rectangle 154">
            <a:extLst>
              <a:ext uri="{FF2B5EF4-FFF2-40B4-BE49-F238E27FC236}">
                <a16:creationId xmlns:a16="http://schemas.microsoft.com/office/drawing/2014/main" id="{00000000-0008-0000-0500-000053000000}"/>
              </a:ext>
            </a:extLst>
          </xdr:cNvPr>
          <xdr:cNvSpPr>
            <a:spLocks noChangeArrowheads="1"/>
          </xdr:cNvSpPr>
        </xdr:nvSpPr>
        <xdr:spPr bwMode="auto">
          <a:xfrm>
            <a:off x="207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55" name="Group 157">
            <a:extLst>
              <a:ext uri="{FF2B5EF4-FFF2-40B4-BE49-F238E27FC236}">
                <a16:creationId xmlns:a16="http://schemas.microsoft.com/office/drawing/2014/main" id="{00000000-0008-0000-0500-00001BBC0000}"/>
              </a:ext>
            </a:extLst>
          </xdr:cNvPr>
          <xdr:cNvGrpSpPr>
            <a:grpSpLocks/>
          </xdr:cNvGrpSpPr>
        </xdr:nvGrpSpPr>
        <xdr:grpSpPr bwMode="auto">
          <a:xfrm>
            <a:off x="210" y="41"/>
            <a:ext cx="35" cy="43"/>
            <a:chOff x="210" y="41"/>
            <a:chExt cx="35" cy="43"/>
          </a:xfrm>
        </xdr:grpSpPr>
        <xdr:pic>
          <xdr:nvPicPr>
            <xdr:cNvPr id="48169" name="Grafik 62">
              <a:extLst>
                <a:ext uri="{FF2B5EF4-FFF2-40B4-BE49-F238E27FC236}">
                  <a16:creationId xmlns:a16="http://schemas.microsoft.com/office/drawing/2014/main" id="{00000000-0008-0000-0500-000029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70" name="Grafik 63">
              <a:extLst>
                <a:ext uri="{FF2B5EF4-FFF2-40B4-BE49-F238E27FC236}">
                  <a16:creationId xmlns:a16="http://schemas.microsoft.com/office/drawing/2014/main" id="{00000000-0008-0000-0500-00002A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5" name="Rectangle 158">
            <a:extLst>
              <a:ext uri="{FF2B5EF4-FFF2-40B4-BE49-F238E27FC236}">
                <a16:creationId xmlns:a16="http://schemas.microsoft.com/office/drawing/2014/main" id="{00000000-0008-0000-05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57" name="Group 161">
            <a:extLst>
              <a:ext uri="{FF2B5EF4-FFF2-40B4-BE49-F238E27FC236}">
                <a16:creationId xmlns:a16="http://schemas.microsoft.com/office/drawing/2014/main" id="{00000000-0008-0000-0500-00001DBC0000}"/>
              </a:ext>
            </a:extLst>
          </xdr:cNvPr>
          <xdr:cNvGrpSpPr>
            <a:grpSpLocks/>
          </xdr:cNvGrpSpPr>
        </xdr:nvGrpSpPr>
        <xdr:grpSpPr bwMode="auto">
          <a:xfrm>
            <a:off x="249" y="41"/>
            <a:ext cx="33" cy="43"/>
            <a:chOff x="249" y="41"/>
            <a:chExt cx="33" cy="43"/>
          </a:xfrm>
        </xdr:grpSpPr>
        <xdr:pic>
          <xdr:nvPicPr>
            <xdr:cNvPr id="48167" name="Grafik 60">
              <a:extLst>
                <a:ext uri="{FF2B5EF4-FFF2-40B4-BE49-F238E27FC236}">
                  <a16:creationId xmlns:a16="http://schemas.microsoft.com/office/drawing/2014/main" id="{00000000-0008-0000-0500-000027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68" name="Grafik 61">
              <a:extLst>
                <a:ext uri="{FF2B5EF4-FFF2-40B4-BE49-F238E27FC236}">
                  <a16:creationId xmlns:a16="http://schemas.microsoft.com/office/drawing/2014/main" id="{00000000-0008-0000-0500-000028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7" name="Rectangle 162">
            <a:extLst>
              <a:ext uri="{FF2B5EF4-FFF2-40B4-BE49-F238E27FC236}">
                <a16:creationId xmlns:a16="http://schemas.microsoft.com/office/drawing/2014/main" id="{00000000-0008-0000-05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282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59" name="Group 165">
            <a:extLst>
              <a:ext uri="{FF2B5EF4-FFF2-40B4-BE49-F238E27FC236}">
                <a16:creationId xmlns:a16="http://schemas.microsoft.com/office/drawing/2014/main" id="{00000000-0008-0000-0500-00001FBC0000}"/>
              </a:ext>
            </a:extLst>
          </xdr:cNvPr>
          <xdr:cNvGrpSpPr>
            <a:grpSpLocks/>
          </xdr:cNvGrpSpPr>
        </xdr:nvGrpSpPr>
        <xdr:grpSpPr bwMode="auto">
          <a:xfrm>
            <a:off x="286" y="41"/>
            <a:ext cx="33" cy="43"/>
            <a:chOff x="286" y="41"/>
            <a:chExt cx="33" cy="43"/>
          </a:xfrm>
        </xdr:grpSpPr>
        <xdr:pic>
          <xdr:nvPicPr>
            <xdr:cNvPr id="48165" name="Grafik 58">
              <a:extLst>
                <a:ext uri="{FF2B5EF4-FFF2-40B4-BE49-F238E27FC236}">
                  <a16:creationId xmlns:a16="http://schemas.microsoft.com/office/drawing/2014/main" id="{00000000-0008-0000-0500-000025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66" name="Grafik 59">
              <a:extLst>
                <a:ext uri="{FF2B5EF4-FFF2-40B4-BE49-F238E27FC236}">
                  <a16:creationId xmlns:a16="http://schemas.microsoft.com/office/drawing/2014/main" id="{00000000-0008-0000-0500-000026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6" y="41"/>
              <a:ext cx="33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89" name="Rectangle 166">
            <a:extLst>
              <a:ext uri="{FF2B5EF4-FFF2-40B4-BE49-F238E27FC236}">
                <a16:creationId xmlns:a16="http://schemas.microsoft.com/office/drawing/2014/main" id="{00000000-0008-0000-0500-000059000000}"/>
              </a:ext>
            </a:extLst>
          </xdr:cNvPr>
          <xdr:cNvSpPr>
            <a:spLocks noChangeArrowheads="1"/>
          </xdr:cNvSpPr>
        </xdr:nvSpPr>
        <xdr:spPr bwMode="auto">
          <a:xfrm>
            <a:off x="320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  <xdr:grpSp>
        <xdr:nvGrpSpPr>
          <xdr:cNvPr id="48161" name="Group 169">
            <a:extLst>
              <a:ext uri="{FF2B5EF4-FFF2-40B4-BE49-F238E27FC236}">
                <a16:creationId xmlns:a16="http://schemas.microsoft.com/office/drawing/2014/main" id="{00000000-0008-0000-0500-000021BC0000}"/>
              </a:ext>
            </a:extLst>
          </xdr:cNvPr>
          <xdr:cNvGrpSpPr>
            <a:grpSpLocks/>
          </xdr:cNvGrpSpPr>
        </xdr:nvGrpSpPr>
        <xdr:grpSpPr bwMode="auto">
          <a:xfrm>
            <a:off x="323" y="41"/>
            <a:ext cx="35" cy="43"/>
            <a:chOff x="323" y="41"/>
            <a:chExt cx="35" cy="43"/>
          </a:xfrm>
        </xdr:grpSpPr>
        <xdr:pic>
          <xdr:nvPicPr>
            <xdr:cNvPr id="48163" name="Grafik 56">
              <a:extLst>
                <a:ext uri="{FF2B5EF4-FFF2-40B4-BE49-F238E27FC236}">
                  <a16:creationId xmlns:a16="http://schemas.microsoft.com/office/drawing/2014/main" id="{00000000-0008-0000-0500-000023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64" name="Grafik 57">
              <a:extLst>
                <a:ext uri="{FF2B5EF4-FFF2-40B4-BE49-F238E27FC236}">
                  <a16:creationId xmlns:a16="http://schemas.microsoft.com/office/drawing/2014/main" id="{00000000-0008-0000-0500-000024B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" y="41"/>
              <a:ext cx="35" cy="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91" name="Rectangle 170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356" y="69"/>
            <a:ext cx="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de-CH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indexed="10"/>
  </sheetPr>
  <dimension ref="A1:AA45"/>
  <sheetViews>
    <sheetView showGridLines="0" showZeros="0" tabSelected="1" topLeftCell="A5" zoomScale="80" zoomScaleNormal="80" zoomScaleSheetLayoutView="70" zoomScalePageLayoutView="25" workbookViewId="0">
      <selection activeCell="B7" sqref="B7:F7"/>
    </sheetView>
  </sheetViews>
  <sheetFormatPr baseColWidth="10" defaultColWidth="11.453125" defaultRowHeight="12.5" x14ac:dyDescent="0.25"/>
  <cols>
    <col min="1" max="1" width="14.453125" style="8" customWidth="1"/>
    <col min="2" max="2" width="7.7265625" style="8" customWidth="1"/>
    <col min="3" max="3" width="8.54296875" style="8" customWidth="1"/>
    <col min="4" max="4" width="6.7265625" style="8" customWidth="1"/>
    <col min="5" max="5" width="10" style="8" customWidth="1"/>
    <col min="6" max="6" width="16.81640625" style="8" customWidth="1"/>
    <col min="7" max="7" width="4.81640625" style="8" customWidth="1"/>
    <col min="8" max="8" width="5.26953125" style="8" customWidth="1"/>
    <col min="9" max="10" width="7.26953125" style="8" customWidth="1"/>
    <col min="11" max="11" width="6.54296875" style="8" customWidth="1"/>
    <col min="12" max="12" width="8.26953125" style="108" customWidth="1"/>
    <col min="13" max="13" width="8.1796875" style="8" customWidth="1"/>
    <col min="14" max="14" width="7.81640625" style="8" customWidth="1"/>
    <col min="15" max="15" width="8" style="8" customWidth="1"/>
    <col min="16" max="17" width="17.1796875" style="5" customWidth="1"/>
    <col min="18" max="19" width="17.1796875" style="6" hidden="1" customWidth="1"/>
    <col min="20" max="21" width="11.453125" style="6" hidden="1" customWidth="1"/>
    <col min="22" max="22" width="13" style="6" hidden="1" customWidth="1"/>
    <col min="23" max="23" width="11.453125" style="7" hidden="1" customWidth="1"/>
    <col min="24" max="26" width="11.453125" style="8" hidden="1" customWidth="1"/>
    <col min="27" max="16384" width="11.453125" style="8"/>
  </cols>
  <sheetData>
    <row r="1" spans="1:27" ht="105.75" customHeight="1" x14ac:dyDescent="0.4">
      <c r="A1" s="1"/>
      <c r="B1" s="2"/>
      <c r="C1" s="2"/>
      <c r="D1" s="2"/>
      <c r="E1" s="2"/>
      <c r="F1" s="3"/>
      <c r="G1" s="494" t="s">
        <v>289</v>
      </c>
      <c r="H1" s="495"/>
      <c r="I1" s="495"/>
      <c r="J1" s="765" t="s">
        <v>349</v>
      </c>
      <c r="K1" s="766"/>
      <c r="L1" s="766"/>
      <c r="M1" s="766"/>
      <c r="N1" s="766"/>
      <c r="O1" s="766"/>
    </row>
    <row r="2" spans="1:27" ht="36" customHeight="1" x14ac:dyDescent="0.7">
      <c r="A2" s="9" t="s">
        <v>280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777"/>
      <c r="O2" s="777"/>
    </row>
    <row r="3" spans="1:27" ht="24.75" customHeight="1" thickBot="1" x14ac:dyDescent="0.4">
      <c r="A3" s="339" t="s">
        <v>317</v>
      </c>
      <c r="D3" s="785" t="str">
        <f>IF($X$22=22,"","Achtung, fehlende Angaben. Bitte betroffene Felder ausfüllen.")</f>
        <v/>
      </c>
      <c r="E3" s="785"/>
      <c r="F3" s="785"/>
      <c r="G3" s="785"/>
      <c r="H3" s="785"/>
      <c r="I3" s="785"/>
      <c r="J3" s="785"/>
      <c r="K3" s="785"/>
      <c r="L3" s="785"/>
      <c r="M3" s="12"/>
      <c r="N3" s="13"/>
      <c r="O3" s="14"/>
    </row>
    <row r="4" spans="1:27" s="15" customFormat="1" ht="7.5" hidden="1" customHeight="1" x14ac:dyDescent="0.35">
      <c r="A4" s="781"/>
      <c r="B4" s="781"/>
      <c r="C4" s="781"/>
      <c r="D4" s="781"/>
      <c r="E4" s="781"/>
      <c r="F4" s="781"/>
      <c r="P4" s="16"/>
      <c r="Q4" s="16"/>
      <c r="R4" s="17"/>
      <c r="S4" s="17"/>
      <c r="T4" s="17"/>
      <c r="U4" s="17"/>
      <c r="V4" s="17"/>
      <c r="W4" s="18"/>
    </row>
    <row r="5" spans="1:27" s="23" customFormat="1" ht="30" customHeight="1" x14ac:dyDescent="0.35">
      <c r="A5" s="466" t="s">
        <v>1</v>
      </c>
      <c r="B5" s="775"/>
      <c r="C5" s="776"/>
      <c r="D5" s="774" t="s">
        <v>38</v>
      </c>
      <c r="E5" s="774"/>
      <c r="F5" s="464"/>
      <c r="G5" s="786" t="s">
        <v>261</v>
      </c>
      <c r="H5" s="794" t="s">
        <v>259</v>
      </c>
      <c r="I5" s="795"/>
      <c r="J5" s="795"/>
      <c r="K5" s="795"/>
      <c r="L5" s="795"/>
      <c r="M5" s="796"/>
      <c r="N5" s="796"/>
      <c r="O5" s="797"/>
      <c r="P5" s="19"/>
      <c r="Q5" s="19"/>
      <c r="R5" s="20"/>
      <c r="S5" s="20"/>
      <c r="T5" s="17" t="s">
        <v>119</v>
      </c>
      <c r="U5" s="20"/>
      <c r="V5" s="531">
        <f>IF(F5="Talzone",5,0)</f>
        <v>0</v>
      </c>
      <c r="W5" s="21"/>
      <c r="X5" s="22"/>
      <c r="Y5" s="22"/>
      <c r="Z5" s="22"/>
      <c r="AA5" s="22"/>
    </row>
    <row r="6" spans="1:27" s="15" customFormat="1" ht="30" customHeight="1" x14ac:dyDescent="0.35">
      <c r="A6" s="767" t="s">
        <v>267</v>
      </c>
      <c r="B6" s="768"/>
      <c r="C6" s="756"/>
      <c r="D6" s="468">
        <f>IF(K7="Ja, mehr als 50% der Nährstoffe",6,SUM(V5:V7))</f>
        <v>0</v>
      </c>
      <c r="E6" s="467"/>
      <c r="F6" s="465"/>
      <c r="G6" s="787"/>
      <c r="H6" s="764" t="s">
        <v>260</v>
      </c>
      <c r="I6" s="764"/>
      <c r="J6" s="764"/>
      <c r="K6" s="764"/>
      <c r="L6" s="764"/>
      <c r="M6" s="804"/>
      <c r="N6" s="804"/>
      <c r="O6" s="805"/>
      <c r="P6" s="16"/>
      <c r="Q6" s="16"/>
      <c r="R6" s="17"/>
      <c r="S6" s="17"/>
      <c r="T6" s="17" t="s">
        <v>120</v>
      </c>
      <c r="U6" s="17"/>
      <c r="V6" s="531">
        <f>IF(F5="Hügelzone",5,0)</f>
        <v>0</v>
      </c>
      <c r="W6" s="18"/>
    </row>
    <row r="7" spans="1:27" s="15" customFormat="1" ht="30" customHeight="1" thickBot="1" x14ac:dyDescent="0.4">
      <c r="A7" s="802" t="s">
        <v>257</v>
      </c>
      <c r="B7" s="791"/>
      <c r="C7" s="792"/>
      <c r="D7" s="792"/>
      <c r="E7" s="792"/>
      <c r="F7" s="793"/>
      <c r="G7" s="788"/>
      <c r="H7" s="798" t="s">
        <v>266</v>
      </c>
      <c r="I7" s="798"/>
      <c r="J7" s="798"/>
      <c r="K7" s="762"/>
      <c r="L7" s="762"/>
      <c r="M7" s="762"/>
      <c r="N7" s="762"/>
      <c r="O7" s="782"/>
      <c r="P7" s="16"/>
      <c r="Q7" s="16"/>
      <c r="R7" s="17"/>
      <c r="S7" s="17"/>
      <c r="T7" s="17" t="s">
        <v>121</v>
      </c>
      <c r="U7" s="17"/>
      <c r="V7" s="531">
        <f>IF(F5="Bergzone",6,0)</f>
        <v>0</v>
      </c>
      <c r="W7" s="18"/>
    </row>
    <row r="8" spans="1:27" ht="30" customHeight="1" x14ac:dyDescent="0.3">
      <c r="A8" s="803"/>
      <c r="B8" s="757"/>
      <c r="C8" s="758"/>
      <c r="D8" s="758"/>
      <c r="E8" s="758"/>
      <c r="F8" s="758"/>
      <c r="G8" s="789" t="s">
        <v>262</v>
      </c>
      <c r="H8" s="790"/>
      <c r="I8" s="799"/>
      <c r="J8" s="800"/>
      <c r="K8" s="800"/>
      <c r="L8" s="800"/>
      <c r="M8" s="800"/>
      <c r="N8" s="800"/>
      <c r="O8" s="801"/>
    </row>
    <row r="9" spans="1:27" ht="30" customHeight="1" x14ac:dyDescent="0.3">
      <c r="A9" s="26" t="s">
        <v>2</v>
      </c>
      <c r="B9" s="757"/>
      <c r="C9" s="758"/>
      <c r="D9" s="758"/>
      <c r="E9" s="758"/>
      <c r="F9" s="758"/>
      <c r="G9" s="755" t="s">
        <v>263</v>
      </c>
      <c r="H9" s="756"/>
      <c r="I9" s="778"/>
      <c r="J9" s="779"/>
      <c r="K9" s="779"/>
      <c r="L9" s="779"/>
      <c r="M9" s="779"/>
      <c r="N9" s="779"/>
      <c r="O9" s="780"/>
    </row>
    <row r="10" spans="1:27" ht="30" customHeight="1" x14ac:dyDescent="0.3">
      <c r="A10" s="28" t="s">
        <v>36</v>
      </c>
      <c r="B10" s="769"/>
      <c r="C10" s="770"/>
      <c r="D10" s="770"/>
      <c r="E10" s="770"/>
      <c r="F10" s="770"/>
      <c r="G10" s="755" t="s">
        <v>264</v>
      </c>
      <c r="H10" s="756"/>
      <c r="I10" s="778"/>
      <c r="J10" s="779"/>
      <c r="K10" s="779"/>
      <c r="L10" s="779"/>
      <c r="M10" s="779"/>
      <c r="N10" s="779"/>
      <c r="O10" s="780"/>
      <c r="T10" s="533" t="s">
        <v>296</v>
      </c>
      <c r="V10" s="532" t="s">
        <v>295</v>
      </c>
      <c r="W10" s="7" t="s">
        <v>297</v>
      </c>
    </row>
    <row r="11" spans="1:27" ht="30" customHeight="1" thickBot="1" x14ac:dyDescent="0.35">
      <c r="A11" s="29" t="s">
        <v>34</v>
      </c>
      <c r="B11" s="762"/>
      <c r="C11" s="763"/>
      <c r="D11" s="759" t="s">
        <v>256</v>
      </c>
      <c r="E11" s="759"/>
      <c r="F11" s="463"/>
      <c r="G11" s="760" t="s">
        <v>265</v>
      </c>
      <c r="H11" s="761"/>
      <c r="I11" s="771"/>
      <c r="J11" s="772"/>
      <c r="K11" s="772"/>
      <c r="L11" s="772"/>
      <c r="M11" s="772"/>
      <c r="N11" s="772"/>
      <c r="O11" s="773"/>
      <c r="R11" s="533" t="s">
        <v>299</v>
      </c>
      <c r="T11" s="534" t="str">
        <f>A5</f>
        <v>Betrieb-Nr.:</v>
      </c>
      <c r="U11" s="534"/>
      <c r="V11" s="534" t="str">
        <f>IF(B5=0,"Nein","Ja")</f>
        <v>Nein</v>
      </c>
      <c r="W11" s="535" t="str">
        <f>IF(AND($R$12="Ja",OR(V11="Nein",V11="Ja")),"Ja","Nein")</f>
        <v>Nein</v>
      </c>
      <c r="X11" s="536">
        <f>IF(AND(V11="Nein",W11="Ja"),1,2)</f>
        <v>2</v>
      </c>
    </row>
    <row r="12" spans="1:27" ht="42.75" customHeight="1" thickBot="1" x14ac:dyDescent="0.55000000000000004">
      <c r="A12" s="31" t="s">
        <v>106</v>
      </c>
      <c r="B12" s="10"/>
      <c r="C12" s="10"/>
      <c r="D12" s="10"/>
      <c r="E12" s="10"/>
      <c r="F12" s="10"/>
      <c r="G12" s="32"/>
      <c r="H12" s="32"/>
      <c r="I12" s="33"/>
      <c r="J12" s="33"/>
      <c r="K12" s="33"/>
      <c r="L12" s="34"/>
      <c r="M12" s="34"/>
      <c r="N12" s="35"/>
      <c r="O12" s="35"/>
      <c r="R12" s="6" t="str">
        <f>IF(SUM(L14:L19,L25:L28,N25:N28,L29:L30,N29:N30)&gt;0,"Ja","Nein")</f>
        <v>Nein</v>
      </c>
      <c r="T12" s="534" t="str">
        <f>D5</f>
        <v>Produktions-Zone:</v>
      </c>
      <c r="U12" s="537"/>
      <c r="V12" s="534" t="str">
        <f>IF(F5=0,"Nein","Ja")</f>
        <v>Nein</v>
      </c>
      <c r="W12" s="535" t="str">
        <f>IF(AND($R$12="Ja",OR(V12="Nein",V12="Ja")),"Ja","Nein")</f>
        <v>Nein</v>
      </c>
      <c r="X12" s="536">
        <f>IF(AND(V12="Nein",W12="Ja"),1,2)</f>
        <v>2</v>
      </c>
      <c r="Y12" s="15"/>
    </row>
    <row r="13" spans="1:27" ht="20.25" customHeight="1" x14ac:dyDescent="0.3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783" t="s">
        <v>54</v>
      </c>
      <c r="M13" s="783"/>
      <c r="N13" s="783" t="s">
        <v>55</v>
      </c>
      <c r="O13" s="784"/>
      <c r="R13" s="17"/>
      <c r="T13" s="534" t="str">
        <f>H5</f>
        <v>Landwirtschaftliche Nutzfläche (ha):</v>
      </c>
      <c r="U13" s="537"/>
      <c r="V13" s="534" t="str">
        <f>IF(M5=0,"Nein","Ja")</f>
        <v>Nein</v>
      </c>
      <c r="W13" s="535" t="str">
        <f t="shared" ref="W13:W21" si="0">IF(AND($R$12="Ja",OR(V13="Nein",V13="Ja")),"Ja","Nein")</f>
        <v>Nein</v>
      </c>
      <c r="X13" s="536">
        <f>IF(AND(V13="Nein",W13="Ja"),1,2)</f>
        <v>2</v>
      </c>
      <c r="Y13" s="15"/>
    </row>
    <row r="14" spans="1:27" ht="20.25" customHeight="1" x14ac:dyDescent="0.35">
      <c r="A14" s="744" t="s">
        <v>255</v>
      </c>
      <c r="B14" s="754"/>
      <c r="C14" s="754"/>
      <c r="D14" s="745"/>
      <c r="E14" s="745"/>
      <c r="F14" s="745"/>
      <c r="G14" s="39"/>
      <c r="H14" s="39"/>
      <c r="I14" s="39"/>
      <c r="J14" s="39"/>
      <c r="K14" s="41"/>
      <c r="L14" s="446">
        <f>'Rindvieh, Schweine, Geflügel'!R28+'Rindvieh, Schweine, Geflügel'!R38</f>
        <v>0</v>
      </c>
      <c r="M14" s="42" t="s">
        <v>123</v>
      </c>
      <c r="N14" s="449"/>
      <c r="O14" s="500"/>
      <c r="T14" s="534" t="str">
        <f>A9</f>
        <v>Gemeinde:</v>
      </c>
      <c r="U14" s="537"/>
      <c r="V14" s="534" t="str">
        <f>IF(B9=0,"Nein","Ja")</f>
        <v>Nein</v>
      </c>
      <c r="W14" s="535" t="str">
        <f t="shared" si="0"/>
        <v>Nein</v>
      </c>
      <c r="X14" s="536">
        <f t="shared" ref="X14:X21" si="1">IF(AND(V14="Nein",W14="Ja"),1,2)</f>
        <v>2</v>
      </c>
      <c r="Y14" s="15"/>
    </row>
    <row r="15" spans="1:27" ht="20.25" customHeight="1" x14ac:dyDescent="0.35">
      <c r="A15" s="38" t="s">
        <v>237</v>
      </c>
      <c r="B15" s="699" t="s">
        <v>348</v>
      </c>
      <c r="C15" s="39"/>
      <c r="D15" s="40"/>
      <c r="E15" s="40"/>
      <c r="F15" s="40"/>
      <c r="G15" s="39"/>
      <c r="H15" s="39"/>
      <c r="I15" s="39"/>
      <c r="J15" s="39"/>
      <c r="K15" s="41"/>
      <c r="L15" s="446">
        <f>'Rindvieh, Schweine, Geflügel'!R46+'Diverse Tiere'!R14+'Diverse Tiere'!R20+'Diverse Tiere'!R26+'Diverse Tiere'!R31+'Diverse Tiere'!R42</f>
        <v>0</v>
      </c>
      <c r="M15" s="42" t="s">
        <v>123</v>
      </c>
      <c r="N15" s="450"/>
      <c r="O15" s="501"/>
      <c r="T15" s="534" t="str">
        <f>H6</f>
        <v>Düngbare Fläche (ha):</v>
      </c>
      <c r="U15" s="537"/>
      <c r="V15" s="534" t="str">
        <f>IF(M6=0,"Nein","Ja")</f>
        <v>Nein</v>
      </c>
      <c r="W15" s="535" t="str">
        <f t="shared" si="0"/>
        <v>Nein</v>
      </c>
      <c r="X15" s="536">
        <f t="shared" si="1"/>
        <v>2</v>
      </c>
      <c r="Y15" s="15"/>
    </row>
    <row r="16" spans="1:27" ht="20.25" customHeight="1" x14ac:dyDescent="0.35">
      <c r="A16" s="744" t="s">
        <v>12</v>
      </c>
      <c r="B16" s="754"/>
      <c r="C16" s="754"/>
      <c r="D16" s="754"/>
      <c r="E16" s="39"/>
      <c r="F16" s="39"/>
      <c r="G16" s="39"/>
      <c r="H16" s="39"/>
      <c r="I16" s="39"/>
      <c r="J16" s="39"/>
      <c r="K16" s="41"/>
      <c r="L16" s="446">
        <f>'Abwasser, Hofdüngerlager'!N36</f>
        <v>0</v>
      </c>
      <c r="M16" s="42" t="s">
        <v>123</v>
      </c>
      <c r="N16" s="450"/>
      <c r="O16" s="501"/>
      <c r="R16" s="17"/>
      <c r="T16" s="534" t="str">
        <f>D11</f>
        <v>Erstelldatum:</v>
      </c>
      <c r="U16" s="537"/>
      <c r="V16" s="534" t="str">
        <f>IF(F11=0,"Nein","Ja")</f>
        <v>Nein</v>
      </c>
      <c r="W16" s="535" t="str">
        <f t="shared" si="0"/>
        <v>Nein</v>
      </c>
      <c r="X16" s="536">
        <f t="shared" si="1"/>
        <v>2</v>
      </c>
      <c r="Y16" s="15"/>
    </row>
    <row r="17" spans="1:25" ht="20.25" customHeight="1" x14ac:dyDescent="0.35">
      <c r="A17" s="744" t="s">
        <v>49</v>
      </c>
      <c r="B17" s="754"/>
      <c r="C17" s="754"/>
      <c r="D17" s="754"/>
      <c r="E17" s="43"/>
      <c r="F17" s="44"/>
      <c r="G17" s="39"/>
      <c r="H17" s="39"/>
      <c r="I17" s="39"/>
      <c r="J17" s="39"/>
      <c r="K17" s="41"/>
      <c r="L17" s="446">
        <f>'Abwasser, Hofdüngerlager'!N44</f>
        <v>0</v>
      </c>
      <c r="M17" s="42" t="s">
        <v>123</v>
      </c>
      <c r="N17" s="450"/>
      <c r="O17" s="501"/>
      <c r="R17" s="17"/>
      <c r="T17" s="534" t="str">
        <f>G8</f>
        <v>Name, Vorname:</v>
      </c>
      <c r="U17" s="534"/>
      <c r="V17" s="534" t="str">
        <f>IF(I8=0,"Nein","Ja")</f>
        <v>Nein</v>
      </c>
      <c r="W17" s="535" t="str">
        <f t="shared" si="0"/>
        <v>Nein</v>
      </c>
      <c r="X17" s="536">
        <f t="shared" si="1"/>
        <v>2</v>
      </c>
      <c r="Y17" s="15"/>
    </row>
    <row r="18" spans="1:25" ht="20.25" customHeight="1" x14ac:dyDescent="0.3">
      <c r="A18" s="38" t="s">
        <v>181</v>
      </c>
      <c r="B18" s="41"/>
      <c r="C18" s="45"/>
      <c r="D18" s="39"/>
      <c r="E18" s="43"/>
      <c r="F18" s="39"/>
      <c r="G18" s="39"/>
      <c r="H18" s="39"/>
      <c r="I18" s="39"/>
      <c r="J18" s="39"/>
      <c r="K18" s="41"/>
      <c r="L18" s="446">
        <f>'Abwasser landwirt. Nebenerwerb'!O37</f>
        <v>0</v>
      </c>
      <c r="M18" s="42" t="s">
        <v>123</v>
      </c>
      <c r="N18" s="450"/>
      <c r="O18" s="501"/>
      <c r="T18" s="534" t="str">
        <f>G9</f>
        <v>Strasse:</v>
      </c>
      <c r="U18" s="534"/>
      <c r="V18" s="534" t="str">
        <f>IF(I9=0,"Nein","Ja")</f>
        <v>Nein</v>
      </c>
      <c r="W18" s="535" t="str">
        <f t="shared" si="0"/>
        <v>Nein</v>
      </c>
      <c r="X18" s="536">
        <f t="shared" si="1"/>
        <v>2</v>
      </c>
    </row>
    <row r="19" spans="1:25" ht="20.25" customHeight="1" x14ac:dyDescent="0.3">
      <c r="A19" s="752" t="s">
        <v>89</v>
      </c>
      <c r="B19" s="753"/>
      <c r="C19" s="753"/>
      <c r="D19" s="39"/>
      <c r="E19" s="43"/>
      <c r="F19" s="39"/>
      <c r="G19" s="39"/>
      <c r="H19" s="39"/>
      <c r="I19" s="39"/>
      <c r="J19" s="39"/>
      <c r="K19" s="41"/>
      <c r="L19" s="447">
        <f>SUM(L14:L18)</f>
        <v>0</v>
      </c>
      <c r="M19" s="42" t="s">
        <v>123</v>
      </c>
      <c r="N19" s="451"/>
      <c r="O19" s="502"/>
      <c r="T19" s="534" t="str">
        <f>G10</f>
        <v>PLZ, Ort:</v>
      </c>
      <c r="U19" s="534"/>
      <c r="V19" s="534" t="str">
        <f>IF(I10=0,"Nein","Ja")</f>
        <v>Nein</v>
      </c>
      <c r="W19" s="535" t="str">
        <f t="shared" si="0"/>
        <v>Nein</v>
      </c>
      <c r="X19" s="536">
        <f t="shared" si="1"/>
        <v>2</v>
      </c>
    </row>
    <row r="20" spans="1:25" ht="21" customHeight="1" thickBot="1" x14ac:dyDescent="0.35">
      <c r="A20" s="734" t="s">
        <v>88</v>
      </c>
      <c r="B20" s="735"/>
      <c r="C20" s="735"/>
      <c r="D20" s="49"/>
      <c r="E20" s="49"/>
      <c r="F20" s="49"/>
      <c r="G20" s="49"/>
      <c r="H20" s="49"/>
      <c r="I20" s="49"/>
      <c r="J20" s="49"/>
      <c r="K20" s="50"/>
      <c r="L20" s="460"/>
      <c r="M20" s="461"/>
      <c r="N20" s="448">
        <f>'Rindvieh, Schweine, Geflügel'!S28+'Rindvieh, Schweine, Geflügel'!S38+'Rindvieh, Schweine, Geflügel'!S46+'Diverse Tiere'!S14+'Diverse Tiere'!S20+'Diverse Tiere'!S26+'Diverse Tiere'!S31+'Diverse Tiere'!S42</f>
        <v>0</v>
      </c>
      <c r="O20" s="452" t="s">
        <v>325</v>
      </c>
      <c r="T20" s="534" t="str">
        <f>G11</f>
        <v>Telefon:</v>
      </c>
      <c r="U20" s="534"/>
      <c r="V20" s="534" t="str">
        <f>IF(I11=0,"Nein","Ja")</f>
        <v>Nein</v>
      </c>
      <c r="W20" s="535" t="str">
        <f t="shared" si="0"/>
        <v>Nein</v>
      </c>
      <c r="X20" s="536">
        <f t="shared" si="1"/>
        <v>2</v>
      </c>
    </row>
    <row r="21" spans="1:25" s="25" customFormat="1" ht="9.75" customHeight="1" x14ac:dyDescent="0.3">
      <c r="H21" s="52"/>
      <c r="I21" s="53"/>
      <c r="J21" s="54"/>
      <c r="L21" s="55"/>
      <c r="M21" s="56"/>
      <c r="N21" s="56"/>
      <c r="O21" s="57"/>
      <c r="P21" s="58"/>
      <c r="Q21" s="58"/>
      <c r="R21" s="59"/>
      <c r="S21" s="59"/>
      <c r="T21" s="538" t="str">
        <f>H7</f>
        <v>Hofdüngerabgabe:</v>
      </c>
      <c r="U21" s="538"/>
      <c r="V21" s="538" t="str">
        <f>IF(K7=0,"Nein","Ja")</f>
        <v>Nein</v>
      </c>
      <c r="W21" s="535" t="str">
        <f t="shared" si="0"/>
        <v>Nein</v>
      </c>
      <c r="X21" s="536">
        <f t="shared" si="1"/>
        <v>2</v>
      </c>
    </row>
    <row r="22" spans="1:25" ht="30.75" customHeight="1" thickBot="1" x14ac:dyDescent="0.7">
      <c r="A22" s="31" t="s">
        <v>90</v>
      </c>
      <c r="B22" s="10"/>
      <c r="C22" s="31"/>
      <c r="D22" s="10"/>
      <c r="E22" s="10"/>
      <c r="F22" s="10"/>
      <c r="G22" s="10"/>
      <c r="H22" s="10"/>
      <c r="I22" s="10"/>
      <c r="J22" s="32"/>
      <c r="K22" s="32"/>
      <c r="L22" s="60"/>
      <c r="M22" s="61"/>
      <c r="N22" s="62"/>
      <c r="O22" s="63"/>
      <c r="T22" s="534"/>
      <c r="U22" s="534"/>
      <c r="V22" s="746" t="s">
        <v>298</v>
      </c>
      <c r="W22" s="747"/>
      <c r="X22" s="536">
        <f>SUM(X11:X21)</f>
        <v>22</v>
      </c>
    </row>
    <row r="23" spans="1:25" s="69" customFormat="1" ht="49.5" customHeight="1" x14ac:dyDescent="0.3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750" t="s">
        <v>115</v>
      </c>
      <c r="M23" s="751"/>
      <c r="N23" s="748" t="s">
        <v>326</v>
      </c>
      <c r="O23" s="749"/>
      <c r="P23" s="66"/>
      <c r="Q23" s="66"/>
      <c r="R23" s="67"/>
      <c r="S23" s="67"/>
      <c r="T23" s="67"/>
      <c r="U23" s="67"/>
      <c r="V23" s="67"/>
      <c r="W23" s="68"/>
    </row>
    <row r="24" spans="1:25" s="80" customFormat="1" ht="23.25" customHeight="1" x14ac:dyDescent="0.4">
      <c r="A24" s="38" t="s">
        <v>93</v>
      </c>
      <c r="B24" s="39"/>
      <c r="C24" s="70"/>
      <c r="D24" s="39"/>
      <c r="E24" s="71" t="str">
        <f>IF(D6=" ","Bitte Produktionszone (Feld F5) ausfüllen!",IF(D6&lt;0,"Eingabe Mindest - Lagerdauer ist falsch !!",IF(D6&gt;6,"Eingabe Mindest - Lagerdauer ist falsch !!","")))</f>
        <v/>
      </c>
      <c r="F24" s="72"/>
      <c r="G24" s="73"/>
      <c r="H24" s="73"/>
      <c r="I24" s="39"/>
      <c r="J24" s="39"/>
      <c r="K24" s="39"/>
      <c r="L24" s="46">
        <f>D6</f>
        <v>0</v>
      </c>
      <c r="M24" s="74" t="s">
        <v>3</v>
      </c>
      <c r="N24" s="75">
        <v>6</v>
      </c>
      <c r="O24" s="76" t="s">
        <v>3</v>
      </c>
      <c r="P24" s="77"/>
      <c r="Q24" s="77"/>
      <c r="R24" s="78"/>
      <c r="S24" s="78"/>
      <c r="T24" s="78"/>
      <c r="U24" s="78"/>
      <c r="V24" s="78"/>
      <c r="W24" s="79"/>
    </row>
    <row r="25" spans="1:25" s="80" customFormat="1" ht="23.25" customHeight="1" x14ac:dyDescent="0.4">
      <c r="A25" s="744" t="s">
        <v>287</v>
      </c>
      <c r="B25" s="745"/>
      <c r="C25" s="745"/>
      <c r="D25" s="745"/>
      <c r="E25" s="745"/>
      <c r="F25" s="745"/>
      <c r="G25" s="745"/>
      <c r="H25" s="745"/>
      <c r="I25" s="745"/>
      <c r="J25" s="745"/>
      <c r="K25" s="39"/>
      <c r="L25" s="447">
        <f>MROUND(L19/12*D6,1)</f>
        <v>0</v>
      </c>
      <c r="M25" s="81" t="s">
        <v>173</v>
      </c>
      <c r="N25" s="457">
        <f>MROUND(N20/12*6,1)</f>
        <v>0</v>
      </c>
      <c r="O25" s="82" t="s">
        <v>124</v>
      </c>
      <c r="P25" s="77"/>
      <c r="Q25" s="541"/>
      <c r="R25" s="78"/>
      <c r="S25" s="83"/>
      <c r="T25" s="83"/>
      <c r="U25" s="83"/>
      <c r="V25" s="59"/>
      <c r="W25" s="79"/>
    </row>
    <row r="26" spans="1:25" s="80" customFormat="1" ht="23.25" customHeight="1" x14ac:dyDescent="0.4">
      <c r="A26" s="38" t="s">
        <v>168</v>
      </c>
      <c r="B26" s="39"/>
      <c r="C26" s="39"/>
      <c r="D26" s="39"/>
      <c r="E26" s="43"/>
      <c r="F26" s="44"/>
      <c r="G26" s="39"/>
      <c r="H26" s="39"/>
      <c r="I26" s="39"/>
      <c r="J26" s="39"/>
      <c r="K26" s="39"/>
      <c r="L26" s="447">
        <f>'Abwasser, Hofdüngerlager'!E55</f>
        <v>0</v>
      </c>
      <c r="M26" s="84" t="s">
        <v>124</v>
      </c>
      <c r="N26" s="457">
        <f>'Abwasser, Hofdüngerlager'!N55</f>
        <v>0</v>
      </c>
      <c r="O26" s="85" t="s">
        <v>124</v>
      </c>
      <c r="P26" s="77"/>
      <c r="Q26" s="541"/>
      <c r="R26" s="78"/>
      <c r="S26" s="78"/>
      <c r="T26" s="78"/>
      <c r="U26" s="78"/>
      <c r="V26" s="78"/>
      <c r="W26" s="79"/>
    </row>
    <row r="27" spans="1:25" s="80" customFormat="1" ht="23.25" customHeight="1" x14ac:dyDescent="0.4">
      <c r="A27" s="38" t="s">
        <v>169</v>
      </c>
      <c r="B27" s="39"/>
      <c r="C27" s="39"/>
      <c r="D27" s="39"/>
      <c r="E27" s="43"/>
      <c r="F27" s="39"/>
      <c r="G27" s="39"/>
      <c r="H27" s="39"/>
      <c r="I27" s="39"/>
      <c r="J27" s="39"/>
      <c r="K27" s="39"/>
      <c r="L27" s="456">
        <f>IF(L25&gt;0,L26/L19*12,0)</f>
        <v>0</v>
      </c>
      <c r="M27" s="86" t="s">
        <v>3</v>
      </c>
      <c r="N27" s="459">
        <f>IF(N25&gt;0,N26/(N20)*12,0)</f>
        <v>0</v>
      </c>
      <c r="O27" s="76" t="s">
        <v>3</v>
      </c>
      <c r="P27" s="77"/>
      <c r="Q27" s="77"/>
      <c r="R27" s="78"/>
      <c r="S27" s="78"/>
      <c r="T27" s="78"/>
      <c r="U27" s="78"/>
      <c r="V27" s="78"/>
      <c r="W27" s="79"/>
    </row>
    <row r="28" spans="1:25" s="80" customFormat="1" ht="23.25" customHeight="1" thickBot="1" x14ac:dyDescent="0.45">
      <c r="A28" s="48" t="s">
        <v>92</v>
      </c>
      <c r="B28" s="49"/>
      <c r="C28" s="49"/>
      <c r="D28" s="49"/>
      <c r="E28" s="87"/>
      <c r="F28" s="49"/>
      <c r="G28" s="49"/>
      <c r="H28" s="49"/>
      <c r="I28" s="49"/>
      <c r="J28" s="49"/>
      <c r="K28" s="49"/>
      <c r="L28" s="453">
        <f>IF(L25&gt;0,100/L25*L26,0)</f>
        <v>0</v>
      </c>
      <c r="M28" s="88" t="s">
        <v>19</v>
      </c>
      <c r="N28" s="458">
        <f>IF(N25&gt;0,100/N25*N26,0)</f>
        <v>0</v>
      </c>
      <c r="O28" s="51" t="s">
        <v>19</v>
      </c>
      <c r="P28" s="77"/>
      <c r="Q28" s="541"/>
      <c r="R28" s="78"/>
      <c r="S28" s="78"/>
      <c r="T28" s="78"/>
      <c r="U28" s="78"/>
      <c r="V28" s="78"/>
      <c r="W28" s="79"/>
    </row>
    <row r="29" spans="1:25" s="80" customFormat="1" ht="20.25" customHeight="1" x14ac:dyDescent="0.4">
      <c r="A29" s="89" t="s">
        <v>17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454">
        <f>IF(OR(L28&gt;100,L28=0),L26-L25,"")</f>
        <v>0</v>
      </c>
      <c r="M29" s="91" t="s">
        <v>124</v>
      </c>
      <c r="N29" s="454">
        <f>IF(OR(N28&gt;100,N28=0),N26-N25,"")</f>
        <v>0</v>
      </c>
      <c r="O29" s="92" t="s">
        <v>124</v>
      </c>
      <c r="P29" s="77"/>
      <c r="Q29" s="541"/>
      <c r="R29" s="78"/>
      <c r="S29" s="78"/>
      <c r="T29" s="78"/>
      <c r="U29" s="78"/>
      <c r="V29" s="78"/>
      <c r="W29" s="79"/>
    </row>
    <row r="30" spans="1:25" s="80" customFormat="1" ht="20.25" customHeight="1" thickBot="1" x14ac:dyDescent="0.45">
      <c r="A30" s="93" t="s">
        <v>18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455" t="str">
        <f>IF(AND(L28&lt;100,L28&gt;0.1),L26-L25,"")</f>
        <v/>
      </c>
      <c r="M30" s="95" t="s">
        <v>124</v>
      </c>
      <c r="N30" s="455" t="str">
        <f>IF(AND(N28&lt;100,N28&gt;0.1),N25-N26,"")</f>
        <v/>
      </c>
      <c r="O30" s="96" t="s">
        <v>124</v>
      </c>
      <c r="P30" s="77"/>
      <c r="Q30" s="77"/>
      <c r="R30" s="78"/>
      <c r="S30" s="78"/>
      <c r="T30" s="78"/>
      <c r="U30" s="78"/>
      <c r="V30" s="78"/>
      <c r="W30" s="79"/>
    </row>
    <row r="31" spans="1:25" ht="5.25" customHeight="1" x14ac:dyDescent="0.35">
      <c r="A31" s="15"/>
      <c r="L31" s="12"/>
      <c r="M31" s="12"/>
      <c r="N31" s="12"/>
      <c r="O31" s="12"/>
    </row>
    <row r="32" spans="1:25" s="15" customFormat="1" ht="30.75" customHeight="1" thickBot="1" x14ac:dyDescent="0.55000000000000004">
      <c r="A32" s="31" t="s">
        <v>290</v>
      </c>
      <c r="B32" s="24"/>
      <c r="C32" s="25"/>
      <c r="D32" s="25"/>
      <c r="E32" s="25"/>
      <c r="F32" s="25"/>
      <c r="G32" s="25"/>
      <c r="H32" s="24"/>
      <c r="I32" s="22"/>
      <c r="J32" s="98"/>
      <c r="K32" s="98"/>
      <c r="L32" s="22"/>
      <c r="M32" s="22"/>
      <c r="N32" s="22"/>
      <c r="O32" s="22"/>
      <c r="P32" s="16"/>
      <c r="Q32" s="16"/>
      <c r="R32" s="17"/>
      <c r="S32" s="17"/>
      <c r="T32" s="17"/>
      <c r="U32" s="17"/>
      <c r="V32" s="17"/>
      <c r="W32" s="18"/>
    </row>
    <row r="33" spans="1:20" ht="13" x14ac:dyDescent="0.3">
      <c r="A33" s="99"/>
      <c r="B33" s="100"/>
      <c r="C33" s="100"/>
      <c r="D33" s="100"/>
      <c r="E33" s="100"/>
      <c r="F33" s="100"/>
      <c r="G33" s="101"/>
      <c r="H33" s="100"/>
      <c r="I33" s="100"/>
      <c r="J33" s="100"/>
      <c r="K33" s="101"/>
      <c r="L33" s="100"/>
      <c r="M33" s="101"/>
      <c r="N33" s="101"/>
      <c r="O33" s="102"/>
      <c r="S33" s="103" t="str">
        <f>IF(I37&lt;8,"0","1")</f>
        <v>0</v>
      </c>
      <c r="T33" s="104"/>
    </row>
    <row r="34" spans="1:20" ht="14" x14ac:dyDescent="0.3">
      <c r="A34" s="89" t="s">
        <v>246</v>
      </c>
      <c r="B34" s="105"/>
      <c r="C34" s="105"/>
      <c r="D34" s="105"/>
      <c r="E34" s="105"/>
      <c r="F34" s="462" t="str">
        <f>IF(S35=2,"möglich","nicht möglich")</f>
        <v>nicht möglich</v>
      </c>
      <c r="G34" s="2" t="str">
        <f>IF(F34="nicht möglich","da weniger 8 DGVE Rinder + Schweine oder weniger 25% Anteil Vollgülle.","")</f>
        <v>da weniger 8 DGVE Rinder + Schweine oder weniger 25% Anteil Vollgülle.</v>
      </c>
      <c r="H34" s="4"/>
      <c r="I34" s="4"/>
      <c r="J34" s="4"/>
      <c r="K34" s="2"/>
      <c r="L34" s="4"/>
      <c r="M34" s="2"/>
      <c r="N34" s="2"/>
      <c r="O34" s="106"/>
      <c r="S34" s="103" t="str">
        <f>IF(I38&lt;25%,"0","1")</f>
        <v>0</v>
      </c>
    </row>
    <row r="35" spans="1:20" ht="8.5" customHeight="1" x14ac:dyDescent="0.3">
      <c r="A35" s="705"/>
      <c r="B35" s="706"/>
      <c r="C35" s="706"/>
      <c r="D35" s="706"/>
      <c r="E35" s="706"/>
      <c r="F35" s="707"/>
      <c r="G35" s="708"/>
      <c r="H35" s="706"/>
      <c r="I35" s="706"/>
      <c r="J35" s="706"/>
      <c r="K35" s="708"/>
      <c r="L35" s="706"/>
      <c r="M35" s="708"/>
      <c r="N35" s="708"/>
      <c r="O35" s="709"/>
      <c r="S35" s="103">
        <f>+S34+S33</f>
        <v>0</v>
      </c>
    </row>
    <row r="36" spans="1:20" ht="14" x14ac:dyDescent="0.3">
      <c r="A36" s="89" t="s">
        <v>122</v>
      </c>
      <c r="B36" s="2"/>
      <c r="C36" s="2"/>
      <c r="D36" s="2"/>
      <c r="E36" s="2"/>
      <c r="F36" s="462" t="str">
        <f>IF(I38&lt;25%,"nicht möglich","möglich")</f>
        <v>nicht möglich</v>
      </c>
      <c r="G36" s="2" t="str">
        <f>IF(F36="nicht möglich","da die Verdünnung weniger als 25% beträgt."," ")</f>
        <v>da die Verdünnung weniger als 25% beträgt.</v>
      </c>
      <c r="H36" s="2"/>
      <c r="I36" s="2"/>
      <c r="J36" s="2"/>
      <c r="K36" s="2"/>
      <c r="L36" s="109"/>
      <c r="M36" s="2"/>
      <c r="N36" s="2"/>
      <c r="O36" s="106"/>
      <c r="S36" s="103"/>
      <c r="T36" s="104"/>
    </row>
    <row r="37" spans="1:20" ht="21.65" customHeight="1" x14ac:dyDescent="0.3">
      <c r="A37" s="696" t="s">
        <v>338</v>
      </c>
      <c r="B37" s="697"/>
      <c r="C37" s="697"/>
      <c r="D37" s="697"/>
      <c r="E37" s="698"/>
      <c r="F37" s="698"/>
      <c r="G37" s="698"/>
      <c r="H37" s="698"/>
      <c r="I37" s="700">
        <f>'Rindvieh, Schweine, Geflügel'!P28+'Rindvieh, Schweine, Geflügel'!X38</f>
        <v>0</v>
      </c>
      <c r="J37" s="697" t="s">
        <v>336</v>
      </c>
      <c r="K37" s="697"/>
      <c r="L37" s="697"/>
      <c r="M37" s="701"/>
      <c r="N37" s="698"/>
      <c r="O37" s="702"/>
    </row>
    <row r="38" spans="1:20" ht="20.5" customHeight="1" x14ac:dyDescent="0.3">
      <c r="A38" s="696" t="s">
        <v>347</v>
      </c>
      <c r="B38" s="697"/>
      <c r="C38" s="697"/>
      <c r="D38" s="697"/>
      <c r="E38" s="700"/>
      <c r="F38" s="697"/>
      <c r="G38" s="698"/>
      <c r="H38" s="698"/>
      <c r="I38" s="740">
        <f>L14/(L14+L16+L17+L18+0.00001)</f>
        <v>0</v>
      </c>
      <c r="J38" s="741"/>
      <c r="K38" s="697"/>
      <c r="L38" s="697"/>
      <c r="M38" s="701"/>
      <c r="N38" s="703"/>
      <c r="O38" s="704"/>
    </row>
    <row r="39" spans="1:20" ht="18.75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107"/>
      <c r="N39" s="24"/>
    </row>
    <row r="40" spans="1:20" ht="40" customHeight="1" x14ac:dyDescent="0.3">
      <c r="A40" s="25" t="s">
        <v>20</v>
      </c>
      <c r="B40" s="738"/>
      <c r="C40" s="738"/>
      <c r="D40" s="738"/>
      <c r="E40" s="738"/>
      <c r="F40" s="25"/>
      <c r="G40" s="742" t="s">
        <v>258</v>
      </c>
      <c r="H40" s="743"/>
      <c r="I40" s="743"/>
      <c r="J40" s="743"/>
      <c r="K40" s="738"/>
      <c r="L40" s="739"/>
      <c r="M40" s="739"/>
      <c r="N40" s="739"/>
      <c r="O40" s="739"/>
    </row>
    <row r="41" spans="1:20" ht="15.75" customHeight="1" x14ac:dyDescent="0.3">
      <c r="A41" s="25"/>
      <c r="B41" s="111"/>
      <c r="C41" s="111"/>
      <c r="D41" s="111"/>
      <c r="E41" s="111"/>
      <c r="F41" s="25"/>
      <c r="G41" s="25"/>
      <c r="H41" s="25"/>
      <c r="I41" s="25"/>
      <c r="J41" s="25"/>
      <c r="K41" s="25"/>
      <c r="L41" s="55"/>
      <c r="M41" s="112"/>
      <c r="N41" s="112"/>
      <c r="O41" s="112"/>
    </row>
    <row r="42" spans="1:20" ht="21.75" customHeight="1" x14ac:dyDescent="0.3">
      <c r="A42" s="25" t="s">
        <v>292</v>
      </c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7"/>
      <c r="M42" s="737"/>
      <c r="N42" s="737"/>
      <c r="O42" s="737"/>
    </row>
    <row r="43" spans="1:20" ht="21.75" customHeight="1" x14ac:dyDescent="0.3">
      <c r="A43" s="25"/>
      <c r="B43" s="736"/>
      <c r="C43" s="737"/>
      <c r="D43" s="737"/>
      <c r="E43" s="737"/>
      <c r="F43" s="737"/>
      <c r="G43" s="737"/>
      <c r="H43" s="737"/>
      <c r="I43" s="737"/>
      <c r="J43" s="737"/>
      <c r="K43" s="737"/>
      <c r="L43" s="737"/>
      <c r="M43" s="737"/>
      <c r="N43" s="737"/>
      <c r="O43" s="737"/>
    </row>
    <row r="44" spans="1:20" ht="24" customHeight="1" x14ac:dyDescent="0.25">
      <c r="A44" s="113"/>
      <c r="B44" s="736"/>
      <c r="C44" s="736"/>
      <c r="D44" s="736"/>
      <c r="E44" s="736"/>
      <c r="F44" s="736"/>
      <c r="G44" s="736"/>
      <c r="H44" s="736"/>
      <c r="I44" s="736"/>
      <c r="J44" s="736"/>
      <c r="K44" s="736"/>
      <c r="L44" s="736"/>
      <c r="M44" s="736"/>
      <c r="N44" s="736"/>
      <c r="O44" s="736"/>
    </row>
    <row r="45" spans="1:20" ht="18" customHeight="1" x14ac:dyDescent="0.25"/>
  </sheetData>
  <sheetProtection algorithmName="SHA-512" hashValue="LbbxUwiurqF5QF6B/KilZdBH2qDAeNYhNNNC9UQVBacqVZEOhnXirrHxZYH85i2LXS1ueLp2eCenpwF6Pdb8gg==" saltValue="DwSpgRpyobERTlqEjinkmg==" spinCount="100000" sheet="1" selectLockedCells="1"/>
  <mergeCells count="47">
    <mergeCell ref="B44:O44"/>
    <mergeCell ref="N13:O13"/>
    <mergeCell ref="B8:F8"/>
    <mergeCell ref="D3:L3"/>
    <mergeCell ref="G5:G7"/>
    <mergeCell ref="A14:F14"/>
    <mergeCell ref="L13:M13"/>
    <mergeCell ref="G8:H8"/>
    <mergeCell ref="G9:H9"/>
    <mergeCell ref="B7:F7"/>
    <mergeCell ref="H5:L5"/>
    <mergeCell ref="M5:O5"/>
    <mergeCell ref="H7:J7"/>
    <mergeCell ref="I8:O8"/>
    <mergeCell ref="I10:O10"/>
    <mergeCell ref="A7:A8"/>
    <mergeCell ref="M6:O6"/>
    <mergeCell ref="H6:L6"/>
    <mergeCell ref="J1:O1"/>
    <mergeCell ref="A6:C6"/>
    <mergeCell ref="B10:F10"/>
    <mergeCell ref="I11:O11"/>
    <mergeCell ref="D5:E5"/>
    <mergeCell ref="B5:C5"/>
    <mergeCell ref="N2:O2"/>
    <mergeCell ref="I9:O9"/>
    <mergeCell ref="A4:F4"/>
    <mergeCell ref="K7:O7"/>
    <mergeCell ref="A19:C19"/>
    <mergeCell ref="A17:D17"/>
    <mergeCell ref="G10:H10"/>
    <mergeCell ref="B9:F9"/>
    <mergeCell ref="D11:E11"/>
    <mergeCell ref="A16:D16"/>
    <mergeCell ref="G11:H11"/>
    <mergeCell ref="B11:C11"/>
    <mergeCell ref="V22:W22"/>
    <mergeCell ref="B42:O42"/>
    <mergeCell ref="N23:O23"/>
    <mergeCell ref="B43:O43"/>
    <mergeCell ref="L23:M23"/>
    <mergeCell ref="A20:C20"/>
    <mergeCell ref="K40:O40"/>
    <mergeCell ref="I38:J38"/>
    <mergeCell ref="B40:E40"/>
    <mergeCell ref="G40:J40"/>
    <mergeCell ref="A25:J25"/>
  </mergeCells>
  <phoneticPr fontId="0" type="noConversion"/>
  <conditionalFormatting sqref="B5:C5">
    <cfRule type="expression" dxfId="15" priority="12">
      <formula>IF($X$11=1,1,0)</formula>
    </cfRule>
  </conditionalFormatting>
  <conditionalFormatting sqref="F5">
    <cfRule type="expression" dxfId="14" priority="11">
      <formula>IF($X$12=1,1,0)</formula>
    </cfRule>
  </conditionalFormatting>
  <conditionalFormatting sqref="B9:F9">
    <cfRule type="expression" dxfId="13" priority="10">
      <formula>IF($X$14=1,1,0)</formula>
    </cfRule>
  </conditionalFormatting>
  <conditionalFormatting sqref="F11">
    <cfRule type="expression" dxfId="12" priority="8">
      <formula>IF($X$16=1,1,0)</formula>
    </cfRule>
  </conditionalFormatting>
  <conditionalFormatting sqref="I8:O8">
    <cfRule type="expression" dxfId="11" priority="7">
      <formula>IF($X$17=1,1,0)</formula>
    </cfRule>
  </conditionalFormatting>
  <conditionalFormatting sqref="I9:O9">
    <cfRule type="expression" dxfId="10" priority="6">
      <formula>IF($X$18=1,1,0)</formula>
    </cfRule>
  </conditionalFormatting>
  <conditionalFormatting sqref="I10:O10">
    <cfRule type="expression" dxfId="9" priority="5">
      <formula>IF($X$19=1,1,0)</formula>
    </cfRule>
  </conditionalFormatting>
  <conditionalFormatting sqref="I11:O11">
    <cfRule type="expression" dxfId="8" priority="4">
      <formula>IF($X$20=1,1,0)</formula>
    </cfRule>
  </conditionalFormatting>
  <conditionalFormatting sqref="M5:O5">
    <cfRule type="expression" dxfId="7" priority="3">
      <formula>IF($X$13=1,1,0)</formula>
    </cfRule>
  </conditionalFormatting>
  <conditionalFormatting sqref="M6:O6">
    <cfRule type="expression" dxfId="6" priority="2">
      <formula>IF($X$15=1,1,0)</formula>
    </cfRule>
  </conditionalFormatting>
  <conditionalFormatting sqref="K7:O7">
    <cfRule type="expression" dxfId="5" priority="1">
      <formula>IF($X$21=1,1,0)</formula>
    </cfRule>
  </conditionalFormatting>
  <dataValidations count="6">
    <dataValidation type="list" allowBlank="1" showInputMessage="1" showErrorMessage="1" errorTitle="Ungültige Eingabe." error="Bitte treffen Sie eine Auswahl." sqref="F5" xr:uid="{00000000-0002-0000-0000-000000000000}">
      <formula1>$T$5:$T$7</formula1>
    </dataValidation>
    <dataValidation type="date" operator="greaterThan" allowBlank="1" showInputMessage="1" showErrorMessage="1" errorTitle="Ungültiges Datum" error="Bitte geben Sie ein gültiges Datum ein." sqref="F11" xr:uid="{00000000-0002-0000-0000-000001000000}">
      <formula1>TODAY()-60</formula1>
    </dataValidation>
    <dataValidation allowBlank="1" showInputMessage="1" sqref="B5:C5" xr:uid="{00000000-0002-0000-0000-000002000000}"/>
    <dataValidation type="decimal" allowBlank="1" showErrorMessage="1" errorTitle="Ungültige Angabe" error="Bitte geben Sie eine gültige Nutzfläche an." sqref="M5:O5" xr:uid="{00000000-0002-0000-0000-000003000000}">
      <formula1>0</formula1>
      <formula2>999</formula2>
    </dataValidation>
    <dataValidation type="decimal" allowBlank="1" showErrorMessage="1" errorTitle="Ungültige Eingabe" error="Bitte geben Sie eine gültige Düngbare Fläche an." sqref="M6:O6" xr:uid="{00000000-0002-0000-0000-000004000000}">
      <formula1>0</formula1>
      <formula2>999</formula2>
    </dataValidation>
    <dataValidation type="list" allowBlank="1" showErrorMessage="1" errorTitle="Ungültige Eingabe" error="Bitte treffen Sie eine Auswahl." sqref="K7:O7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"Ja, weniger als 50% der Nährstoffe","Ja, mehr als 50% der Nährstoffe",Nein</x12ac:list>
        </mc:Choice>
        <mc:Fallback>
          <formula1>"Ja, weniger als 50% der Nährstoffe,Ja, mehr als 50% der Nährstoffe,Nein"</formula1>
        </mc:Fallback>
      </mc:AlternateContent>
    </dataValidation>
  </dataValidations>
  <printOptions horizontalCentered="1"/>
  <pageMargins left="0.6692913385826772" right="0.31496062992125984" top="0.31496062992125984" bottom="0.51181102362204722" header="0.27559055118110237" footer="0.27559055118110237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indexed="10"/>
    <pageSetUpPr fitToPage="1"/>
  </sheetPr>
  <dimension ref="A1:AI47"/>
  <sheetViews>
    <sheetView showGridLines="0" showZeros="0" zoomScale="80" zoomScaleNormal="80" workbookViewId="0">
      <selection activeCell="F10" sqref="F10"/>
    </sheetView>
  </sheetViews>
  <sheetFormatPr baseColWidth="10" defaultColWidth="11.453125" defaultRowHeight="12.5" x14ac:dyDescent="0.25"/>
  <cols>
    <col min="1" max="1" width="6" style="108" customWidth="1"/>
    <col min="2" max="2" width="15.7265625" style="8" customWidth="1"/>
    <col min="3" max="3" width="7.7265625" style="8" customWidth="1"/>
    <col min="4" max="4" width="8.54296875" style="8" customWidth="1"/>
    <col min="5" max="8" width="7.7265625" style="8" customWidth="1"/>
    <col min="9" max="13" width="7.7265625" style="108" customWidth="1"/>
    <col min="14" max="15" width="5.26953125" style="108" customWidth="1"/>
    <col min="16" max="16" width="10.26953125" style="108" customWidth="1"/>
    <col min="17" max="19" width="9.7265625" style="8" customWidth="1"/>
    <col min="20" max="20" width="14.1796875" style="480" hidden="1" customWidth="1"/>
    <col min="21" max="23" width="11.453125" style="367" hidden="1" customWidth="1"/>
    <col min="24" max="24" width="9.81640625" style="367" hidden="1" customWidth="1"/>
    <col min="25" max="27" width="11.453125" style="582" hidden="1" customWidth="1"/>
    <col min="28" max="28" width="11.453125" style="567" hidden="1" customWidth="1"/>
    <col min="29" max="29" width="8" style="8" hidden="1" customWidth="1"/>
    <col min="30" max="32" width="0" style="8" hidden="1" customWidth="1"/>
    <col min="33" max="33" width="11.453125" style="8"/>
    <col min="34" max="34" width="11.453125" style="729"/>
    <col min="35" max="16384" width="11.453125" style="8"/>
  </cols>
  <sheetData>
    <row r="1" spans="1:35" ht="75" customHeight="1" thickBot="1" x14ac:dyDescent="0.45">
      <c r="A1" s="365"/>
      <c r="B1" s="213"/>
      <c r="C1" s="30"/>
      <c r="D1" s="30"/>
      <c r="E1" s="30"/>
      <c r="F1" s="30"/>
      <c r="G1" s="30"/>
      <c r="H1" s="30"/>
      <c r="I1" s="211"/>
      <c r="J1" s="211"/>
      <c r="K1" s="366"/>
      <c r="L1" s="47"/>
      <c r="M1" s="214"/>
      <c r="N1" s="882" t="str">
        <f>'Adresse + Ergebnis '!A3</f>
        <v xml:space="preserve">Grundlage: GRUD 2017 </v>
      </c>
      <c r="O1" s="882"/>
      <c r="P1" s="882"/>
      <c r="Q1" s="883"/>
      <c r="R1" s="883"/>
      <c r="S1" s="883"/>
    </row>
    <row r="2" spans="1:35" ht="45" customHeight="1" x14ac:dyDescent="0.65">
      <c r="A2" s="885" t="s">
        <v>0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4">
        <f>'Adresse + Ergebnis '!N2</f>
        <v>0</v>
      </c>
      <c r="O2" s="884"/>
      <c r="P2" s="884"/>
      <c r="Q2" s="884"/>
      <c r="R2" s="884"/>
      <c r="S2" s="219" t="s">
        <v>216</v>
      </c>
    </row>
    <row r="3" spans="1:35" s="15" customFormat="1" ht="39.75" customHeight="1" x14ac:dyDescent="0.35">
      <c r="A3" s="887" t="s">
        <v>1</v>
      </c>
      <c r="B3" s="888"/>
      <c r="C3" s="889">
        <f>'Adresse + Ergebnis '!B5</f>
        <v>0</v>
      </c>
      <c r="D3" s="889"/>
      <c r="F3" s="892" t="s">
        <v>116</v>
      </c>
      <c r="G3" s="892"/>
      <c r="H3" s="892"/>
      <c r="I3" s="891" t="str">
        <f>CONCATENATE('Adresse + Ergebnis '!B7,IF('Adresse + Ergebnis '!B8&gt;0," / "," "),'Adresse + Ergebnis '!B8)</f>
        <v xml:space="preserve"> </v>
      </c>
      <c r="J3" s="891"/>
      <c r="K3" s="891"/>
      <c r="L3" s="891"/>
      <c r="M3" s="368"/>
      <c r="N3" s="369" t="s">
        <v>2</v>
      </c>
      <c r="O3" s="369"/>
      <c r="P3" s="369"/>
      <c r="R3" s="890">
        <f>'Adresse + Ergebnis '!B9</f>
        <v>0</v>
      </c>
      <c r="S3" s="891"/>
      <c r="T3" s="481"/>
      <c r="U3" s="370"/>
      <c r="V3" s="370"/>
      <c r="W3" s="370"/>
      <c r="X3" s="370"/>
      <c r="Y3" s="583"/>
      <c r="Z3" s="583"/>
      <c r="AA3" s="583"/>
      <c r="AB3" s="568"/>
      <c r="AH3" s="730"/>
    </row>
    <row r="4" spans="1:35" s="23" customFormat="1" ht="21.75" customHeight="1" x14ac:dyDescent="0.35">
      <c r="A4" s="371"/>
      <c r="B4" s="15"/>
      <c r="D4" s="22"/>
      <c r="F4" s="15"/>
      <c r="G4" s="15"/>
      <c r="H4" s="8"/>
      <c r="I4" s="371"/>
      <c r="J4" s="222"/>
      <c r="K4" s="372"/>
      <c r="L4" s="114"/>
      <c r="M4" s="371"/>
      <c r="N4" s="25" t="s">
        <v>34</v>
      </c>
      <c r="O4" s="25"/>
      <c r="P4" s="25"/>
      <c r="R4" s="893">
        <f>'Adresse + Ergebnis '!B11</f>
        <v>0</v>
      </c>
      <c r="S4" s="893"/>
      <c r="T4" s="482"/>
      <c r="U4" s="373"/>
      <c r="V4" s="373"/>
      <c r="W4" s="373"/>
      <c r="X4" s="373"/>
      <c r="Y4" s="584"/>
      <c r="Z4" s="584"/>
      <c r="AA4" s="584"/>
      <c r="AB4" s="569"/>
      <c r="AH4" s="731"/>
    </row>
    <row r="5" spans="1:35" s="15" customFormat="1" ht="21.75" customHeight="1" x14ac:dyDescent="0.35">
      <c r="A5" s="899" t="s">
        <v>35</v>
      </c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226" t="s">
        <v>4</v>
      </c>
      <c r="O5" s="226"/>
      <c r="P5" s="226"/>
      <c r="Q5" s="12"/>
      <c r="R5" s="897" t="str">
        <f>IF('Adresse + Ergebnis '!F11&lt;&gt;"",'Adresse + Ergebnis '!F11,"")</f>
        <v/>
      </c>
      <c r="S5" s="897"/>
      <c r="T5" s="481"/>
      <c r="U5" s="370"/>
      <c r="V5" s="370"/>
      <c r="W5" s="370"/>
      <c r="X5" s="370"/>
      <c r="Y5" s="583"/>
      <c r="Z5" s="583"/>
      <c r="AA5" s="583"/>
      <c r="AB5" s="568"/>
      <c r="AH5" s="730"/>
    </row>
    <row r="6" spans="1:35" s="15" customFormat="1" ht="24" customHeight="1" thickBot="1" x14ac:dyDescent="0.4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374"/>
      <c r="O6" s="374"/>
      <c r="P6" s="374"/>
      <c r="Q6" s="108"/>
      <c r="R6" s="23"/>
      <c r="S6" s="23"/>
      <c r="T6" s="481"/>
      <c r="U6" s="370"/>
      <c r="V6" s="370"/>
      <c r="W6" s="370"/>
      <c r="X6" s="370"/>
      <c r="Y6" s="583"/>
      <c r="Z6" s="583"/>
      <c r="AA6" s="583"/>
      <c r="AB6" s="568"/>
      <c r="AH6" s="730"/>
    </row>
    <row r="7" spans="1:35" ht="13.5" customHeight="1" x14ac:dyDescent="0.4">
      <c r="A7" s="828" t="s">
        <v>5</v>
      </c>
      <c r="B7" s="872"/>
      <c r="C7" s="485"/>
      <c r="D7" s="485"/>
      <c r="E7" s="485"/>
      <c r="F7" s="486"/>
      <c r="G7" s="903" t="str">
        <f>IF(SUM(AH10:AH27)=0, "Assekuranznummer Stallgebäude","Bitte Assekuranznummer Stallgebäude angeben")</f>
        <v>Assekuranznummer Stallgebäude</v>
      </c>
      <c r="H7" s="879" t="s">
        <v>53</v>
      </c>
      <c r="I7" s="810" t="s">
        <v>184</v>
      </c>
      <c r="J7" s="806" t="s">
        <v>230</v>
      </c>
      <c r="K7" s="806" t="s">
        <v>182</v>
      </c>
      <c r="L7" s="806" t="s">
        <v>183</v>
      </c>
      <c r="M7" s="851" t="s">
        <v>185</v>
      </c>
      <c r="N7" s="818" t="s">
        <v>94</v>
      </c>
      <c r="O7" s="711"/>
      <c r="P7" s="816" t="s">
        <v>329</v>
      </c>
      <c r="Q7" s="822" t="s">
        <v>97</v>
      </c>
      <c r="R7" s="814" t="s">
        <v>126</v>
      </c>
      <c r="S7" s="814" t="s">
        <v>321</v>
      </c>
      <c r="T7" s="848" t="s">
        <v>343</v>
      </c>
      <c r="Y7" s="834" t="s">
        <v>345</v>
      </c>
    </row>
    <row r="8" spans="1:35" ht="14.25" customHeight="1" x14ac:dyDescent="0.4">
      <c r="A8" s="873"/>
      <c r="B8" s="874"/>
      <c r="C8" s="722"/>
      <c r="D8" s="722"/>
      <c r="E8" s="722"/>
      <c r="F8" s="487"/>
      <c r="G8" s="904"/>
      <c r="H8" s="880"/>
      <c r="I8" s="871"/>
      <c r="J8" s="894"/>
      <c r="K8" s="894"/>
      <c r="L8" s="894"/>
      <c r="M8" s="895"/>
      <c r="N8" s="896"/>
      <c r="O8" s="606"/>
      <c r="P8" s="901"/>
      <c r="Q8" s="850"/>
      <c r="R8" s="898"/>
      <c r="S8" s="898"/>
      <c r="T8" s="849"/>
      <c r="Y8" s="834"/>
    </row>
    <row r="9" spans="1:35" ht="123" customHeight="1" thickBot="1" x14ac:dyDescent="0.4">
      <c r="A9" s="875"/>
      <c r="B9" s="876"/>
      <c r="C9" s="877" t="str">
        <f>IF(AND(SUM(I10:M10)&gt;0,F10=0),"Bitte Milchmenge angeben!","")</f>
        <v/>
      </c>
      <c r="D9" s="877"/>
      <c r="E9" s="877"/>
      <c r="F9" s="878"/>
      <c r="G9" s="905"/>
      <c r="H9" s="881"/>
      <c r="I9" s="811"/>
      <c r="J9" s="807"/>
      <c r="K9" s="807"/>
      <c r="L9" s="807"/>
      <c r="M9" s="852"/>
      <c r="N9" s="819"/>
      <c r="O9" s="607" t="s">
        <v>330</v>
      </c>
      <c r="P9" s="902"/>
      <c r="Q9" s="823"/>
      <c r="R9" s="815"/>
      <c r="S9" s="815"/>
      <c r="T9" s="849"/>
      <c r="V9" s="688" t="s">
        <v>344</v>
      </c>
      <c r="W9" s="375" t="s">
        <v>170</v>
      </c>
      <c r="X9" s="97" t="s">
        <v>220</v>
      </c>
      <c r="Y9" s="834"/>
      <c r="Z9" s="585" t="s">
        <v>346</v>
      </c>
      <c r="AA9" s="586" t="s">
        <v>88</v>
      </c>
      <c r="AB9" s="570" t="s">
        <v>319</v>
      </c>
      <c r="AC9" s="600" t="s">
        <v>334</v>
      </c>
      <c r="AD9" s="600" t="s">
        <v>335</v>
      </c>
      <c r="AE9" s="8" t="s">
        <v>336</v>
      </c>
    </row>
    <row r="10" spans="1:35" s="25" customFormat="1" ht="17.25" customHeight="1" x14ac:dyDescent="0.3">
      <c r="A10" s="869" t="s">
        <v>67</v>
      </c>
      <c r="B10" s="870"/>
      <c r="C10" s="857" t="s">
        <v>153</v>
      </c>
      <c r="D10" s="857"/>
      <c r="E10" s="857"/>
      <c r="F10" s="402"/>
      <c r="G10" s="720"/>
      <c r="H10" s="109" t="s">
        <v>60</v>
      </c>
      <c r="I10" s="403"/>
      <c r="J10" s="404"/>
      <c r="K10" s="404"/>
      <c r="L10" s="404"/>
      <c r="M10" s="712"/>
      <c r="N10" s="376">
        <f>'Grundlagen GRUD'!M14</f>
        <v>1</v>
      </c>
      <c r="O10" s="608">
        <f>AE10</f>
        <v>0.59797619047619044</v>
      </c>
      <c r="P10" s="616">
        <f t="shared" ref="P10:P16" si="0">SUM(I10:M10)*O10</f>
        <v>0</v>
      </c>
      <c r="Q10" s="423">
        <f t="shared" ref="Q10:Q16" si="1">SUM(I10:M10)*N10</f>
        <v>0</v>
      </c>
      <c r="R10" s="592">
        <f>IF(F10&gt;7500,W10+(W10*V10),W10 +(W10*T10))</f>
        <v>0</v>
      </c>
      <c r="S10" s="426">
        <f>IF(F10&gt;7500,((AA10+(AA10*Z10))/AB10),((AA10+(AA10*Y10))/AB10))</f>
        <v>0</v>
      </c>
      <c r="T10" s="483">
        <f>(F10-7500)*0.005/100</f>
        <v>-0.375</v>
      </c>
      <c r="U10" s="367">
        <f t="shared" ref="U10:U27" si="2">I10*N10</f>
        <v>0</v>
      </c>
      <c r="V10" s="377">
        <f>(F10-7500)*0.005/100</f>
        <v>-0.375</v>
      </c>
      <c r="W10" s="378">
        <f>(I10*'Grundlagen GRUD'!C14)+(J10*'Grundlagen GRUD'!G14)+(K10*'Grundlagen GRUD'!I14)+(L10*'Grundlagen GRUD'!K14)</f>
        <v>0</v>
      </c>
      <c r="X10" s="378">
        <f t="shared" ref="X10:X27" si="3">I10*N10</f>
        <v>0</v>
      </c>
      <c r="Y10" s="587">
        <f>(F10-7500)*0.005/100</f>
        <v>-0.375</v>
      </c>
      <c r="Z10" s="588">
        <f>(F10-7500)*0.005/100</f>
        <v>-0.375</v>
      </c>
      <c r="AA10" s="589">
        <f>(J10*'Grundlagen GRUD'!H14)+(K10*'Grundlagen GRUD'!J14)+(L10*'Grundlagen GRUD'!L14)+(M10*'Grundlagen GRUD'!F14)</f>
        <v>0</v>
      </c>
      <c r="AB10" s="571">
        <v>0.8</v>
      </c>
      <c r="AC10" s="25">
        <f>IF(F10=7500,112,((F10-7500)/1000*0.05*112)+112)</f>
        <v>70</v>
      </c>
      <c r="AD10" s="25">
        <f>IF(F10=7500,39,((F10-7500)/1000*0.07*39)+39)</f>
        <v>18.524999999999999</v>
      </c>
      <c r="AE10" s="25">
        <f>(AC10/105+AD10/35)/2</f>
        <v>0.59797619047619044</v>
      </c>
      <c r="AH10" s="732">
        <f>IF(AND(Q10&gt;0,G10=0),1,0)</f>
        <v>0</v>
      </c>
    </row>
    <row r="11" spans="1:35" s="25" customFormat="1" ht="17.25" customHeight="1" x14ac:dyDescent="0.3">
      <c r="A11" s="38" t="s">
        <v>152</v>
      </c>
      <c r="B11" s="39"/>
      <c r="C11" s="868" t="s">
        <v>153</v>
      </c>
      <c r="D11" s="868"/>
      <c r="E11" s="868"/>
      <c r="F11" s="41">
        <v>4200</v>
      </c>
      <c r="G11" s="721"/>
      <c r="H11" s="109" t="s">
        <v>60</v>
      </c>
      <c r="I11" s="403"/>
      <c r="J11" s="404"/>
      <c r="K11" s="404"/>
      <c r="L11" s="404"/>
      <c r="M11" s="712"/>
      <c r="N11" s="376">
        <v>1</v>
      </c>
      <c r="O11" s="609">
        <v>0.87</v>
      </c>
      <c r="P11" s="617">
        <f t="shared" si="0"/>
        <v>0</v>
      </c>
      <c r="Q11" s="424">
        <f t="shared" si="1"/>
        <v>0</v>
      </c>
      <c r="R11" s="427">
        <f>IF(F11&gt;6500,W11+(W11*V11),W11 +(W11*T11))</f>
        <v>0</v>
      </c>
      <c r="S11" s="427">
        <f>IF(F11&gt;6500,((AA11+(AA11*Z11))/AB11),((AA11+(AA11*Y11))/AB11))</f>
        <v>0</v>
      </c>
      <c r="T11" s="483">
        <f>(F11-7500)*0.005/100</f>
        <v>-0.16500000000000001</v>
      </c>
      <c r="U11" s="367">
        <f t="shared" si="2"/>
        <v>0</v>
      </c>
      <c r="V11" s="377">
        <f>(F11-7500)*0.005/100</f>
        <v>-0.16500000000000001</v>
      </c>
      <c r="W11" s="378">
        <f>(I11*'Grundlagen GRUD'!C14)+(J11*'Grundlagen GRUD'!G14)+(K11*'Grundlagen GRUD'!I14)+(L11*'Grundlagen GRUD'!K14)</f>
        <v>0</v>
      </c>
      <c r="X11" s="378">
        <f t="shared" si="3"/>
        <v>0</v>
      </c>
      <c r="Y11" s="587">
        <f>(F11-7500)*0.005/100</f>
        <v>-0.16500000000000001</v>
      </c>
      <c r="Z11" s="588">
        <f>(F11-7500)*0.005/100</f>
        <v>-0.16500000000000001</v>
      </c>
      <c r="AA11" s="589">
        <f>(J11*'Grundlagen GRUD'!H14)+(K11*'Grundlagen GRUD'!J14)+(L11*'Grundlagen GRUD'!L14)+(M11*'Grundlagen GRUD'!F14)</f>
        <v>0</v>
      </c>
      <c r="AB11" s="571">
        <v>0.8</v>
      </c>
      <c r="AH11" s="732">
        <f t="shared" ref="AH11:AH27" si="4">IF(AND(Q11&gt;0,G11=0),1,0)</f>
        <v>0</v>
      </c>
    </row>
    <row r="12" spans="1:35" s="25" customFormat="1" ht="17.25" customHeight="1" x14ac:dyDescent="0.3">
      <c r="A12" s="271" t="s">
        <v>171</v>
      </c>
      <c r="B12" s="90"/>
      <c r="C12" s="351"/>
      <c r="D12" s="867" t="s">
        <v>153</v>
      </c>
      <c r="E12" s="867"/>
      <c r="F12" s="380">
        <v>3500</v>
      </c>
      <c r="G12" s="721"/>
      <c r="H12" s="109" t="s">
        <v>60</v>
      </c>
      <c r="I12" s="403"/>
      <c r="J12" s="404"/>
      <c r="K12" s="404"/>
      <c r="L12" s="404"/>
      <c r="M12" s="712"/>
      <c r="N12" s="376">
        <v>1</v>
      </c>
      <c r="O12" s="609">
        <v>0.79</v>
      </c>
      <c r="P12" s="617">
        <f t="shared" si="0"/>
        <v>0</v>
      </c>
      <c r="Q12" s="424">
        <f t="shared" si="1"/>
        <v>0</v>
      </c>
      <c r="R12" s="427">
        <f>IF(F12&gt;6500,W12+(W12*V12),W12 +(W12*T12))</f>
        <v>0</v>
      </c>
      <c r="S12" s="427">
        <f>IF(F12&gt;6500,((AA12+(AA12*Z12))/AB12),((AA12+(AA12*Y12))/AB12))</f>
        <v>0</v>
      </c>
      <c r="T12" s="483">
        <f>(F12-7500)*0.005/100</f>
        <v>-0.2</v>
      </c>
      <c r="U12" s="367">
        <f t="shared" si="2"/>
        <v>0</v>
      </c>
      <c r="V12" s="377"/>
      <c r="W12" s="378">
        <f>(I12*'Grundlagen GRUD'!C14)+(J12*'Grundlagen GRUD'!G14)+(K12*'Grundlagen GRUD'!I14)+(L12*'Grundlagen GRUD'!K14)</f>
        <v>0</v>
      </c>
      <c r="X12" s="378">
        <f t="shared" si="3"/>
        <v>0</v>
      </c>
      <c r="Y12" s="587">
        <f>(F12-7500)*0.005/100</f>
        <v>-0.2</v>
      </c>
      <c r="Z12" s="587"/>
      <c r="AA12" s="589">
        <f>(J12*'Grundlagen GRUD'!H14)+(K12*'Grundlagen GRUD'!J14)+(L12*'Grundlagen GRUD'!L14)+(M12*'Grundlagen GRUD'!F14)</f>
        <v>0</v>
      </c>
      <c r="AB12" s="571">
        <v>0.8</v>
      </c>
      <c r="AH12" s="732">
        <f t="shared" si="4"/>
        <v>0</v>
      </c>
    </row>
    <row r="13" spans="1:35" s="25" customFormat="1" ht="17.25" customHeight="1" x14ac:dyDescent="0.3">
      <c r="A13" s="744" t="s">
        <v>68</v>
      </c>
      <c r="B13" s="754"/>
      <c r="C13" s="754"/>
      <c r="D13" s="381"/>
      <c r="E13" s="382"/>
      <c r="F13" s="383"/>
      <c r="G13" s="715"/>
      <c r="H13" s="109" t="s">
        <v>60</v>
      </c>
      <c r="I13" s="403"/>
      <c r="J13" s="406"/>
      <c r="K13" s="406"/>
      <c r="L13" s="406"/>
      <c r="M13" s="712"/>
      <c r="N13" s="384">
        <v>0.24</v>
      </c>
      <c r="O13" s="610">
        <v>0.26</v>
      </c>
      <c r="P13" s="617">
        <f t="shared" si="0"/>
        <v>0</v>
      </c>
      <c r="Q13" s="424">
        <f t="shared" si="1"/>
        <v>0</v>
      </c>
      <c r="R13" s="427">
        <f>(I13*'Grundlagen GRUD'!C20)+(J13*'Grundlagen GRUD'!G20)+(K13*'Grundlagen GRUD'!I20)+(L13*'Grundlagen GRUD'!K20)</f>
        <v>0</v>
      </c>
      <c r="S13" s="428">
        <f>(J13*'Grundlagen GRUD'!H20/AB13)+(K13*'Grundlagen GRUD'!J20/AB13)+(L13*'Grundlagen GRUD'!L20/AB13)+(M13*'Grundlagen GRUD'!F20/AB13)</f>
        <v>0</v>
      </c>
      <c r="T13" s="483"/>
      <c r="U13" s="367">
        <f t="shared" si="2"/>
        <v>0</v>
      </c>
      <c r="V13" s="377"/>
      <c r="W13" s="378"/>
      <c r="X13" s="378">
        <f t="shared" si="3"/>
        <v>0</v>
      </c>
      <c r="Y13" s="587"/>
      <c r="Z13" s="587"/>
      <c r="AA13" s="587"/>
      <c r="AB13" s="571">
        <v>0.8</v>
      </c>
      <c r="AH13" s="732">
        <f t="shared" si="4"/>
        <v>0</v>
      </c>
    </row>
    <row r="14" spans="1:35" s="25" customFormat="1" ht="17.25" customHeight="1" x14ac:dyDescent="0.3">
      <c r="A14" s="744" t="s">
        <v>69</v>
      </c>
      <c r="B14" s="754"/>
      <c r="C14" s="754"/>
      <c r="D14" s="385"/>
      <c r="E14" s="382"/>
      <c r="F14" s="383"/>
      <c r="G14" s="715"/>
      <c r="H14" s="109" t="s">
        <v>60</v>
      </c>
      <c r="I14" s="403"/>
      <c r="J14" s="406"/>
      <c r="K14" s="406"/>
      <c r="L14" s="406"/>
      <c r="M14" s="712"/>
      <c r="N14" s="384">
        <f>'Grundlagen GRUD'!M21</f>
        <v>0.4</v>
      </c>
      <c r="O14" s="610">
        <v>0.4</v>
      </c>
      <c r="P14" s="617">
        <f t="shared" si="0"/>
        <v>0</v>
      </c>
      <c r="Q14" s="424">
        <f t="shared" si="1"/>
        <v>0</v>
      </c>
      <c r="R14" s="428">
        <f>(I14*'Grundlagen GRUD'!C21)+(J14*'Grundlagen GRUD'!G21)+(K14*'Grundlagen GRUD'!I21)+(L14*'Grundlagen GRUD'!K21)</f>
        <v>0</v>
      </c>
      <c r="S14" s="428">
        <f>(J14*'Grundlagen GRUD'!H21/AB14)+(K14*'Grundlagen GRUD'!J21/AB14)+(L14*'Grundlagen GRUD'!L21/AB14)+(M14*'Grundlagen GRUD'!F21/AB14)</f>
        <v>0</v>
      </c>
      <c r="T14" s="483"/>
      <c r="U14" s="367">
        <f t="shared" si="2"/>
        <v>0</v>
      </c>
      <c r="V14" s="377"/>
      <c r="W14" s="378"/>
      <c r="X14" s="378">
        <f t="shared" si="3"/>
        <v>0</v>
      </c>
      <c r="Y14" s="587"/>
      <c r="Z14" s="587"/>
      <c r="AA14" s="587"/>
      <c r="AB14" s="571">
        <v>0.8</v>
      </c>
      <c r="AH14" s="732">
        <f t="shared" si="4"/>
        <v>0</v>
      </c>
    </row>
    <row r="15" spans="1:35" s="25" customFormat="1" ht="17.25" customHeight="1" x14ac:dyDescent="0.3">
      <c r="A15" s="744" t="s">
        <v>70</v>
      </c>
      <c r="B15" s="754"/>
      <c r="C15" s="332"/>
      <c r="D15" s="385"/>
      <c r="E15" s="382"/>
      <c r="F15" s="383"/>
      <c r="G15" s="715"/>
      <c r="H15" s="109" t="s">
        <v>60</v>
      </c>
      <c r="I15" s="403"/>
      <c r="J15" s="406"/>
      <c r="K15" s="406"/>
      <c r="L15" s="406"/>
      <c r="M15" s="712"/>
      <c r="N15" s="384">
        <f>'Grundlagen GRUD'!M22</f>
        <v>0.6</v>
      </c>
      <c r="O15" s="610">
        <v>0.55000000000000004</v>
      </c>
      <c r="P15" s="617">
        <f t="shared" si="0"/>
        <v>0</v>
      </c>
      <c r="Q15" s="424">
        <f t="shared" si="1"/>
        <v>0</v>
      </c>
      <c r="R15" s="428">
        <f>(I15*'Grundlagen GRUD'!C22)+(J15*'Grundlagen GRUD'!G22)+(K15*'Grundlagen GRUD'!I22)+(L15*'Grundlagen GRUD'!K22)</f>
        <v>0</v>
      </c>
      <c r="S15" s="428">
        <f>(J15*'Grundlagen GRUD'!H22/AB15)+(K15*'Grundlagen GRUD'!J22/AB15)+(L15*'Grundlagen GRUD'!L22/AB15)+(M15*'Grundlagen GRUD'!F22/AB15)</f>
        <v>0</v>
      </c>
      <c r="T15" s="483"/>
      <c r="U15" s="367">
        <f t="shared" si="2"/>
        <v>0</v>
      </c>
      <c r="V15" s="377"/>
      <c r="W15" s="378"/>
      <c r="X15" s="378">
        <f t="shared" si="3"/>
        <v>0</v>
      </c>
      <c r="Y15" s="587"/>
      <c r="Z15" s="587"/>
      <c r="AA15" s="587"/>
      <c r="AB15" s="571">
        <v>0.8</v>
      </c>
      <c r="AH15" s="732">
        <f t="shared" si="4"/>
        <v>0</v>
      </c>
    </row>
    <row r="16" spans="1:35" s="25" customFormat="1" ht="17.25" customHeight="1" x14ac:dyDescent="0.3">
      <c r="A16" s="744" t="s">
        <v>61</v>
      </c>
      <c r="B16" s="754"/>
      <c r="C16" s="332"/>
      <c r="D16" s="332"/>
      <c r="E16" s="382"/>
      <c r="F16" s="383"/>
      <c r="G16" s="715"/>
      <c r="H16" s="109" t="s">
        <v>60</v>
      </c>
      <c r="I16" s="403"/>
      <c r="J16" s="406"/>
      <c r="K16" s="406"/>
      <c r="L16" s="406"/>
      <c r="M16" s="712"/>
      <c r="N16" s="384">
        <f>'Grundlagen GRUD'!M25</f>
        <v>0.6</v>
      </c>
      <c r="O16" s="610">
        <v>0.5</v>
      </c>
      <c r="P16" s="617">
        <f t="shared" si="0"/>
        <v>0</v>
      </c>
      <c r="Q16" s="424">
        <f t="shared" si="1"/>
        <v>0</v>
      </c>
      <c r="R16" s="428">
        <f>(I16*'Grundlagen GRUD'!C25)+(J16*'Grundlagen GRUD'!G25)+(K16*'Grundlagen GRUD'!I25)+(L16*'Grundlagen GRUD'!K25)</f>
        <v>0</v>
      </c>
      <c r="S16" s="428">
        <f>(J16*'Grundlagen GRUD'!H25/AB16)+(K16*'Grundlagen GRUD'!J25/AB16)+(L16*'Grundlagen GRUD'!L25/AB16)+(M16*'Grundlagen GRUD'!F25/AB16)</f>
        <v>0</v>
      </c>
      <c r="T16" s="483"/>
      <c r="U16" s="367">
        <f t="shared" si="2"/>
        <v>0</v>
      </c>
      <c r="V16" s="377"/>
      <c r="W16" s="378"/>
      <c r="X16" s="378">
        <f t="shared" si="3"/>
        <v>0</v>
      </c>
      <c r="Y16" s="587"/>
      <c r="Z16" s="587"/>
      <c r="AA16" s="587"/>
      <c r="AB16" s="571">
        <v>0.8</v>
      </c>
      <c r="AH16" s="732">
        <f t="shared" si="4"/>
        <v>0</v>
      </c>
      <c r="AI16" s="723"/>
    </row>
    <row r="17" spans="1:34" s="25" customFormat="1" ht="17.25" customHeight="1" x14ac:dyDescent="0.3">
      <c r="A17" s="841" t="s">
        <v>328</v>
      </c>
      <c r="B17" s="842"/>
      <c r="C17" s="842"/>
      <c r="D17" s="842"/>
      <c r="E17" s="842"/>
      <c r="F17" s="383"/>
      <c r="G17" s="716"/>
      <c r="H17" s="109"/>
      <c r="I17" s="386"/>
      <c r="J17" s="387"/>
      <c r="K17" s="388"/>
      <c r="L17" s="387"/>
      <c r="M17" s="388"/>
      <c r="N17" s="384"/>
      <c r="O17" s="610"/>
      <c r="P17" s="692"/>
      <c r="Q17" s="424"/>
      <c r="R17" s="428"/>
      <c r="S17" s="428"/>
      <c r="T17" s="483"/>
      <c r="U17" s="367">
        <f t="shared" si="2"/>
        <v>0</v>
      </c>
      <c r="V17" s="377"/>
      <c r="W17" s="378"/>
      <c r="X17" s="378">
        <f t="shared" si="3"/>
        <v>0</v>
      </c>
      <c r="Y17" s="587"/>
      <c r="Z17" s="587"/>
      <c r="AA17" s="587"/>
      <c r="AB17" s="571"/>
      <c r="AH17" s="732">
        <f t="shared" si="4"/>
        <v>0</v>
      </c>
    </row>
    <row r="18" spans="1:34" s="25" customFormat="1" ht="17.25" customHeight="1" x14ac:dyDescent="0.3">
      <c r="A18" s="744" t="s">
        <v>327</v>
      </c>
      <c r="B18" s="754"/>
      <c r="C18" s="754"/>
      <c r="D18" s="745"/>
      <c r="E18" s="382"/>
      <c r="F18" s="383"/>
      <c r="G18" s="715"/>
      <c r="H18" s="109" t="s">
        <v>60</v>
      </c>
      <c r="I18" s="403"/>
      <c r="J18" s="406"/>
      <c r="K18" s="406"/>
      <c r="L18" s="406"/>
      <c r="M18" s="712"/>
      <c r="N18" s="384">
        <v>1</v>
      </c>
      <c r="O18" s="610">
        <v>0.9</v>
      </c>
      <c r="P18" s="617">
        <f>SUM(I18:M18)*O18</f>
        <v>0</v>
      </c>
      <c r="Q18" s="424">
        <f>SUM(I18:M18)*N18</f>
        <v>0</v>
      </c>
      <c r="R18" s="428">
        <f>(I18*'Grundlagen GRUD'!C17)+(J18*'Grundlagen GRUD'!G17)+(K18*'Grundlagen GRUD'!I17)+(L18*'Grundlagen GRUD'!K17)</f>
        <v>0</v>
      </c>
      <c r="S18" s="428">
        <f>(J18*'Grundlagen GRUD'!H17/AB18)+(K18*'Grundlagen GRUD'!J17/AB18)+(L18*'Grundlagen GRUD'!L17/AB18)+(M18*'Grundlagen GRUD'!F17/AB18)</f>
        <v>0</v>
      </c>
      <c r="T18" s="483"/>
      <c r="U18" s="367">
        <f t="shared" si="2"/>
        <v>0</v>
      </c>
      <c r="V18" s="377"/>
      <c r="W18" s="378"/>
      <c r="X18" s="378">
        <f t="shared" si="3"/>
        <v>0</v>
      </c>
      <c r="Y18" s="587"/>
      <c r="Z18" s="587"/>
      <c r="AA18" s="587"/>
      <c r="AB18" s="571">
        <v>0.8</v>
      </c>
      <c r="AH18" s="732">
        <f t="shared" si="4"/>
        <v>0</v>
      </c>
    </row>
    <row r="19" spans="1:34" s="25" customFormat="1" ht="17.25" customHeight="1" x14ac:dyDescent="0.3">
      <c r="A19" s="38" t="s">
        <v>333</v>
      </c>
      <c r="B19" s="39"/>
      <c r="C19" s="39"/>
      <c r="D19" s="40"/>
      <c r="E19" s="382"/>
      <c r="F19" s="383"/>
      <c r="G19" s="715"/>
      <c r="H19" s="109" t="s">
        <v>60</v>
      </c>
      <c r="I19" s="403"/>
      <c r="J19" s="406"/>
      <c r="K19" s="406"/>
      <c r="L19" s="406"/>
      <c r="M19" s="712"/>
      <c r="N19" s="384">
        <v>1</v>
      </c>
      <c r="O19" s="610">
        <v>0.8</v>
      </c>
      <c r="P19" s="617">
        <f>SUM(I19:M19)*O19</f>
        <v>0</v>
      </c>
      <c r="Q19" s="424">
        <f>SUM(I19:M19)*N19</f>
        <v>0</v>
      </c>
      <c r="R19" s="428">
        <f>(I19*'Grundlagen GRUD'!C18)+(J19*'Grundlagen GRUD'!G18)+(K19*'Grundlagen GRUD'!I18)+(L19*'Grundlagen GRUD'!K18)</f>
        <v>0</v>
      </c>
      <c r="S19" s="428">
        <f>(J19*'Grundlagen GRUD'!H18/AB19)+(K19*'Grundlagen GRUD'!J18/AB19)+(L19*'Grundlagen GRUD'!L18/AB19)+(M19*'Grundlagen GRUD'!F18/AB19)</f>
        <v>0</v>
      </c>
      <c r="T19" s="483"/>
      <c r="U19" s="367">
        <f t="shared" si="2"/>
        <v>0</v>
      </c>
      <c r="V19" s="377"/>
      <c r="W19" s="378"/>
      <c r="X19" s="378">
        <f t="shared" si="3"/>
        <v>0</v>
      </c>
      <c r="Y19" s="587"/>
      <c r="Z19" s="587"/>
      <c r="AA19" s="587"/>
      <c r="AB19" s="571">
        <v>0.8</v>
      </c>
      <c r="AH19" s="732">
        <f t="shared" si="4"/>
        <v>0</v>
      </c>
    </row>
    <row r="20" spans="1:34" s="25" customFormat="1" ht="17.25" customHeight="1" x14ac:dyDescent="0.3">
      <c r="A20" s="744" t="s">
        <v>331</v>
      </c>
      <c r="B20" s="745"/>
      <c r="C20" s="745"/>
      <c r="D20" s="745"/>
      <c r="E20" s="382"/>
      <c r="F20" s="383"/>
      <c r="G20" s="715"/>
      <c r="H20" s="109" t="s">
        <v>60</v>
      </c>
      <c r="I20" s="403"/>
      <c r="J20" s="406"/>
      <c r="K20" s="406"/>
      <c r="L20" s="406"/>
      <c r="M20" s="712"/>
      <c r="N20" s="384">
        <v>1</v>
      </c>
      <c r="O20" s="610">
        <v>0.69</v>
      </c>
      <c r="P20" s="617">
        <f>SUM(I20:M20)*O20</f>
        <v>0</v>
      </c>
      <c r="Q20" s="424">
        <f>SUM(I20:M20)*N20</f>
        <v>0</v>
      </c>
      <c r="R20" s="428">
        <f>(I20*'Grundlagen GRUD'!C19)+(J20*'Grundlagen GRUD'!G19)+(K20*'Grundlagen GRUD'!I19)+(L20*'Grundlagen GRUD'!K19)</f>
        <v>0</v>
      </c>
      <c r="S20" s="428">
        <f>(J20*'Grundlagen GRUD'!H19/AB20)+(K20*'Grundlagen GRUD'!J19/AB20)+(L20*'Grundlagen GRUD'!L19/AB20)+(M20*'Grundlagen GRUD'!F19/AB20)</f>
        <v>0</v>
      </c>
      <c r="T20" s="483"/>
      <c r="U20" s="367">
        <f t="shared" si="2"/>
        <v>0</v>
      </c>
      <c r="V20" s="377"/>
      <c r="W20" s="378"/>
      <c r="X20" s="378">
        <f t="shared" si="3"/>
        <v>0</v>
      </c>
      <c r="Y20" s="587"/>
      <c r="Z20" s="587"/>
      <c r="AA20" s="587"/>
      <c r="AB20" s="571">
        <v>0.8</v>
      </c>
      <c r="AH20" s="732">
        <f t="shared" si="4"/>
        <v>0</v>
      </c>
    </row>
    <row r="21" spans="1:34" s="25" customFormat="1" ht="17.25" customHeight="1" x14ac:dyDescent="0.3">
      <c r="A21" s="862" t="s">
        <v>72</v>
      </c>
      <c r="B21" s="863"/>
      <c r="C21" s="863"/>
      <c r="D21" s="39"/>
      <c r="E21" s="382"/>
      <c r="F21" s="383"/>
      <c r="G21" s="715"/>
      <c r="H21" s="109" t="s">
        <v>60</v>
      </c>
      <c r="I21" s="710"/>
      <c r="J21" s="602"/>
      <c r="K21" s="406"/>
      <c r="L21" s="599"/>
      <c r="M21" s="712"/>
      <c r="N21" s="384">
        <f>'Grundlagen GRUD'!M24</f>
        <v>0.22</v>
      </c>
      <c r="O21" s="610">
        <v>0.43</v>
      </c>
      <c r="P21" s="617">
        <f>SUM(I21:M21)*O21</f>
        <v>0</v>
      </c>
      <c r="Q21" s="424">
        <f>SUM(I21:M21)*N21</f>
        <v>0</v>
      </c>
      <c r="R21" s="327">
        <f>(K21*'Grundlagen GRUD'!I24)</f>
        <v>0</v>
      </c>
      <c r="S21" s="428">
        <f>(K21*'Grundlagen GRUD'!J24/AB21)+(M21*'Grundlagen GRUD'!F24/AB21)</f>
        <v>0</v>
      </c>
      <c r="T21" s="483"/>
      <c r="U21" s="367">
        <f t="shared" si="2"/>
        <v>0</v>
      </c>
      <c r="V21" s="377"/>
      <c r="W21" s="378"/>
      <c r="X21" s="378">
        <f t="shared" si="3"/>
        <v>0</v>
      </c>
      <c r="Y21" s="587"/>
      <c r="Z21" s="587"/>
      <c r="AA21" s="587"/>
      <c r="AB21" s="571">
        <v>0.8</v>
      </c>
      <c r="AH21" s="732">
        <f t="shared" si="4"/>
        <v>0</v>
      </c>
    </row>
    <row r="22" spans="1:34" s="25" customFormat="1" ht="17.25" customHeight="1" x14ac:dyDescent="0.3">
      <c r="A22" s="841" t="s">
        <v>21</v>
      </c>
      <c r="B22" s="842"/>
      <c r="C22" s="842"/>
      <c r="D22" s="328"/>
      <c r="E22" s="382"/>
      <c r="F22" s="383"/>
      <c r="G22" s="716"/>
      <c r="H22" s="109"/>
      <c r="I22" s="386"/>
      <c r="J22" s="388"/>
      <c r="K22" s="388"/>
      <c r="L22" s="388"/>
      <c r="M22" s="388"/>
      <c r="N22" s="384"/>
      <c r="O22" s="610"/>
      <c r="P22" s="692"/>
      <c r="Q22" s="424"/>
      <c r="R22" s="327"/>
      <c r="S22" s="428"/>
      <c r="T22" s="483"/>
      <c r="U22" s="367">
        <f t="shared" si="2"/>
        <v>0</v>
      </c>
      <c r="V22" s="377"/>
      <c r="W22" s="378"/>
      <c r="X22" s="378">
        <f t="shared" si="3"/>
        <v>0</v>
      </c>
      <c r="Y22" s="587"/>
      <c r="Z22" s="587"/>
      <c r="AA22" s="587"/>
      <c r="AB22" s="571"/>
      <c r="AH22" s="732">
        <f t="shared" si="4"/>
        <v>0</v>
      </c>
    </row>
    <row r="23" spans="1:34" s="25" customFormat="1" ht="17.25" customHeight="1" x14ac:dyDescent="0.3">
      <c r="A23" s="839" t="str">
        <f>'Grundlagen GRUD'!A27</f>
        <v xml:space="preserve">Rindviehmast, Tränker &lt; 4 Mte.  </v>
      </c>
      <c r="B23" s="840"/>
      <c r="C23" s="840"/>
      <c r="D23" s="840"/>
      <c r="E23" s="382"/>
      <c r="F23" s="383"/>
      <c r="G23" s="715"/>
      <c r="H23" s="109" t="s">
        <v>60</v>
      </c>
      <c r="I23" s="408"/>
      <c r="J23" s="406"/>
      <c r="K23" s="405"/>
      <c r="L23" s="406"/>
      <c r="M23" s="712"/>
      <c r="N23" s="384">
        <f>'Grundlagen GRUD'!M27</f>
        <v>0.1</v>
      </c>
      <c r="O23" s="610">
        <v>0.09</v>
      </c>
      <c r="P23" s="617">
        <f>SUM(I23:M23)*O23</f>
        <v>0</v>
      </c>
      <c r="Q23" s="424">
        <f>SUM(I23:M23)*N23</f>
        <v>0</v>
      </c>
      <c r="R23" s="428">
        <f>(I23*'Grundlagen GRUD'!C27)+(J23*'Grundlagen GRUD'!G27)+(K23*'Grundlagen GRUD'!I27)+(L23*'Grundlagen GRUD'!K27)</f>
        <v>0</v>
      </c>
      <c r="S23" s="428">
        <f>(J23*'Grundlagen GRUD'!H27/AB23)+(K23*'Grundlagen GRUD'!J27/AB23)+(L23*'Grundlagen GRUD'!L27/AB23)+(M23*'Grundlagen GRUD'!F27/AB23)</f>
        <v>0</v>
      </c>
      <c r="T23" s="483"/>
      <c r="U23" s="367">
        <f t="shared" si="2"/>
        <v>0</v>
      </c>
      <c r="V23" s="377"/>
      <c r="W23" s="378"/>
      <c r="X23" s="378">
        <f t="shared" si="3"/>
        <v>0</v>
      </c>
      <c r="Y23" s="587"/>
      <c r="Z23" s="587"/>
      <c r="AA23" s="587"/>
      <c r="AB23" s="571">
        <v>0.8</v>
      </c>
      <c r="AH23" s="732">
        <f t="shared" si="4"/>
        <v>0</v>
      </c>
    </row>
    <row r="24" spans="1:34" s="25" customFormat="1" ht="17.25" customHeight="1" x14ac:dyDescent="0.3">
      <c r="A24" s="839" t="s">
        <v>189</v>
      </c>
      <c r="B24" s="840"/>
      <c r="C24" s="840"/>
      <c r="D24" s="840"/>
      <c r="E24" s="382"/>
      <c r="F24" s="383"/>
      <c r="G24" s="721"/>
      <c r="H24" s="109" t="s">
        <v>60</v>
      </c>
      <c r="I24" s="408"/>
      <c r="J24" s="405"/>
      <c r="K24" s="405"/>
      <c r="L24" s="405"/>
      <c r="M24" s="712"/>
      <c r="N24" s="384">
        <f>'Grundlagen GRUD'!M28</f>
        <v>0.27</v>
      </c>
      <c r="O24" s="610">
        <v>0.31</v>
      </c>
      <c r="P24" s="617">
        <f>SUM(I24:M24)*O24</f>
        <v>0</v>
      </c>
      <c r="Q24" s="424">
        <f>SUM(I24:M24)*N24</f>
        <v>0</v>
      </c>
      <c r="R24" s="429">
        <f>(I24*'Grundlagen GRUD'!C28)+(J24*'Grundlagen GRUD'!G28)+(K24*'Grundlagen GRUD'!I28)+(L24*'Grundlagen GRUD'!K28)</f>
        <v>0</v>
      </c>
      <c r="S24" s="428">
        <f>(J24*'Grundlagen GRUD'!H28/AB24)+(K24*'Grundlagen GRUD'!J28/AB24)+(L24*'Grundlagen GRUD'!L28/AB24)+(M24*'Grundlagen GRUD'!F28/AB24)</f>
        <v>0</v>
      </c>
      <c r="T24" s="483"/>
      <c r="U24" s="367">
        <f t="shared" si="2"/>
        <v>0</v>
      </c>
      <c r="V24" s="377"/>
      <c r="W24" s="378"/>
      <c r="X24" s="378">
        <f t="shared" si="3"/>
        <v>0</v>
      </c>
      <c r="Y24" s="587"/>
      <c r="Z24" s="587"/>
      <c r="AA24" s="587"/>
      <c r="AB24" s="571">
        <v>0.8</v>
      </c>
      <c r="AH24" s="732">
        <f t="shared" si="4"/>
        <v>0</v>
      </c>
    </row>
    <row r="25" spans="1:34" s="25" customFormat="1" ht="17.25" customHeight="1" x14ac:dyDescent="0.3">
      <c r="A25" s="839" t="str">
        <f>'Grundlagen GRUD'!A29</f>
        <v xml:space="preserve">Rindviehmast intentsiv &gt; 4 Mte.  </v>
      </c>
      <c r="B25" s="840"/>
      <c r="C25" s="840"/>
      <c r="D25" s="840"/>
      <c r="E25" s="382"/>
      <c r="F25" s="383"/>
      <c r="G25" s="715"/>
      <c r="H25" s="109" t="s">
        <v>60</v>
      </c>
      <c r="I25" s="408"/>
      <c r="J25" s="405"/>
      <c r="K25" s="405"/>
      <c r="L25" s="405"/>
      <c r="M25" s="712"/>
      <c r="N25" s="384">
        <f>'Grundlagen GRUD'!M29</f>
        <v>0.31</v>
      </c>
      <c r="O25" s="610">
        <v>0.37</v>
      </c>
      <c r="P25" s="617">
        <f>SUM(I25:M25)*O25</f>
        <v>0</v>
      </c>
      <c r="Q25" s="424">
        <f>SUM(I25:M25)*N25</f>
        <v>0</v>
      </c>
      <c r="R25" s="428">
        <f>(I25*'Grundlagen GRUD'!C29)+(J25*'Grundlagen GRUD'!G29)+(K25*'Grundlagen GRUD'!I29)+(L25*'Grundlagen GRUD'!K29)</f>
        <v>0</v>
      </c>
      <c r="S25" s="428">
        <f>(J25*'Grundlagen GRUD'!H29/AB25)+(K25*'Grundlagen GRUD'!J29/AB25)+(L25*'Grundlagen GRUD'!L29/AB25)+(M25*'Grundlagen GRUD'!F29/AB25)</f>
        <v>0</v>
      </c>
      <c r="T25" s="483"/>
      <c r="U25" s="367">
        <f t="shared" si="2"/>
        <v>0</v>
      </c>
      <c r="V25" s="377"/>
      <c r="W25" s="378"/>
      <c r="X25" s="378">
        <f t="shared" si="3"/>
        <v>0</v>
      </c>
      <c r="Y25" s="587"/>
      <c r="Z25" s="587"/>
      <c r="AA25" s="587"/>
      <c r="AB25" s="571">
        <v>0.8</v>
      </c>
      <c r="AH25" s="732">
        <f t="shared" si="4"/>
        <v>0</v>
      </c>
    </row>
    <row r="26" spans="1:34" s="25" customFormat="1" ht="17.25" customHeight="1" x14ac:dyDescent="0.3">
      <c r="A26" s="841" t="s">
        <v>22</v>
      </c>
      <c r="B26" s="842"/>
      <c r="C26" s="842"/>
      <c r="D26" s="842"/>
      <c r="E26" s="382"/>
      <c r="F26" s="383"/>
      <c r="G26" s="716"/>
      <c r="H26" s="109"/>
      <c r="I26" s="835"/>
      <c r="J26" s="836"/>
      <c r="K26" s="836"/>
      <c r="L26" s="836"/>
      <c r="M26" s="388"/>
      <c r="N26" s="384"/>
      <c r="O26" s="610"/>
      <c r="P26" s="692"/>
      <c r="Q26" s="379"/>
      <c r="R26" s="327"/>
      <c r="S26" s="428"/>
      <c r="T26" s="483"/>
      <c r="U26" s="367">
        <f t="shared" si="2"/>
        <v>0</v>
      </c>
      <c r="V26" s="377"/>
      <c r="W26" s="378"/>
      <c r="X26" s="378">
        <f t="shared" si="3"/>
        <v>0</v>
      </c>
      <c r="Y26" s="587"/>
      <c r="Z26" s="587"/>
      <c r="AA26" s="587"/>
      <c r="AB26" s="571"/>
      <c r="AH26" s="732">
        <f t="shared" si="4"/>
        <v>0</v>
      </c>
    </row>
    <row r="27" spans="1:34" s="25" customFormat="1" ht="17.25" customHeight="1" thickBot="1" x14ac:dyDescent="0.35">
      <c r="A27" s="865" t="s">
        <v>107</v>
      </c>
      <c r="B27" s="866"/>
      <c r="C27" s="866"/>
      <c r="D27" s="866"/>
      <c r="E27" s="389"/>
      <c r="F27" s="390"/>
      <c r="G27" s="717"/>
      <c r="H27" s="109" t="s">
        <v>60</v>
      </c>
      <c r="I27" s="837"/>
      <c r="J27" s="838"/>
      <c r="K27" s="838"/>
      <c r="L27" s="838"/>
      <c r="M27" s="713"/>
      <c r="N27" s="598">
        <f>'Grundlagen GRUD'!M23</f>
        <v>0.1</v>
      </c>
      <c r="O27" s="611">
        <v>0.19</v>
      </c>
      <c r="P27" s="618">
        <f>SUM(I27:M27)*O27</f>
        <v>0</v>
      </c>
      <c r="Q27" s="325">
        <f>SUM(I27:M27)*N27</f>
        <v>0</v>
      </c>
      <c r="R27" s="327"/>
      <c r="S27" s="428">
        <f>M27*'Grundlagen GRUD'!F23/AB27</f>
        <v>0</v>
      </c>
      <c r="T27" s="483"/>
      <c r="U27" s="367">
        <f t="shared" si="2"/>
        <v>0</v>
      </c>
      <c r="V27" s="377"/>
      <c r="W27" s="378"/>
      <c r="X27" s="378">
        <f t="shared" si="3"/>
        <v>0</v>
      </c>
      <c r="Y27" s="587"/>
      <c r="Z27" s="587"/>
      <c r="AA27" s="587"/>
      <c r="AB27" s="571">
        <v>0.8</v>
      </c>
      <c r="AH27" s="732">
        <f t="shared" si="4"/>
        <v>0</v>
      </c>
    </row>
    <row r="28" spans="1:34" s="24" customFormat="1" ht="17.25" customHeight="1" thickBot="1" x14ac:dyDescent="0.35">
      <c r="A28" s="855" t="s">
        <v>27</v>
      </c>
      <c r="B28" s="856"/>
      <c r="C28" s="856"/>
      <c r="D28" s="856"/>
      <c r="E28" s="856"/>
      <c r="F28" s="337"/>
      <c r="G28" s="393"/>
      <c r="H28" s="391"/>
      <c r="I28" s="392"/>
      <c r="J28" s="393"/>
      <c r="K28" s="393"/>
      <c r="L28" s="393"/>
      <c r="M28" s="393"/>
      <c r="N28" s="621"/>
      <c r="O28" s="620"/>
      <c r="P28" s="604">
        <f>SUM(P10:P27)</f>
        <v>0</v>
      </c>
      <c r="Q28" s="425">
        <f>SUM(Q10:Q27)</f>
        <v>0</v>
      </c>
      <c r="R28" s="430">
        <f>SUM(R10:R27)</f>
        <v>0</v>
      </c>
      <c r="S28" s="430">
        <f>SUM(S10:S27)</f>
        <v>0</v>
      </c>
      <c r="T28" s="484"/>
      <c r="U28" s="378">
        <f>SUM(U10:U27)</f>
        <v>0</v>
      </c>
      <c r="V28" s="394"/>
      <c r="W28" s="394"/>
      <c r="X28" s="378">
        <f>SUM(X10:X27)</f>
        <v>0</v>
      </c>
      <c r="Y28" s="590"/>
      <c r="Z28" s="590"/>
      <c r="AA28" s="590"/>
      <c r="AB28" s="572"/>
      <c r="AH28" s="733"/>
    </row>
    <row r="29" spans="1:34" ht="12.75" customHeight="1" thickBot="1" x14ac:dyDescent="0.35">
      <c r="A29" s="395"/>
      <c r="G29" s="108"/>
      <c r="H29" s="108"/>
      <c r="P29" s="55"/>
      <c r="S29" s="27"/>
    </row>
    <row r="30" spans="1:34" ht="27.75" customHeight="1" x14ac:dyDescent="0.25">
      <c r="A30" s="828" t="s">
        <v>8</v>
      </c>
      <c r="B30" s="829"/>
      <c r="C30" s="829"/>
      <c r="D30" s="829"/>
      <c r="E30" s="829"/>
      <c r="F30" s="830"/>
      <c r="G30" s="810" t="str">
        <f>IF(SUM(AH32:AH37)=0, "Assekuranznummer Stallgebäude","Bitte Assekuranznummer Stallgebäude angeben")</f>
        <v>Assekuranznummer Stallgebäude</v>
      </c>
      <c r="H30" s="808" t="s">
        <v>53</v>
      </c>
      <c r="I30" s="810" t="s">
        <v>184</v>
      </c>
      <c r="J30" s="806" t="s">
        <v>230</v>
      </c>
      <c r="K30" s="806" t="s">
        <v>250</v>
      </c>
      <c r="L30" s="806" t="s">
        <v>186</v>
      </c>
      <c r="M30" s="851" t="s">
        <v>39</v>
      </c>
      <c r="N30" s="818" t="s">
        <v>95</v>
      </c>
      <c r="O30" s="605"/>
      <c r="P30" s="816" t="s">
        <v>329</v>
      </c>
      <c r="Q30" s="822" t="s">
        <v>98</v>
      </c>
      <c r="R30" s="814" t="s">
        <v>128</v>
      </c>
      <c r="S30" s="814" t="s">
        <v>320</v>
      </c>
    </row>
    <row r="31" spans="1:34" ht="123" customHeight="1" thickBot="1" x14ac:dyDescent="0.3">
      <c r="A31" s="831"/>
      <c r="B31" s="832"/>
      <c r="C31" s="832"/>
      <c r="D31" s="832"/>
      <c r="E31" s="832"/>
      <c r="F31" s="833"/>
      <c r="G31" s="811"/>
      <c r="H31" s="809"/>
      <c r="I31" s="811"/>
      <c r="J31" s="807"/>
      <c r="K31" s="807"/>
      <c r="L31" s="807"/>
      <c r="M31" s="852"/>
      <c r="N31" s="819"/>
      <c r="O31" s="607" t="s">
        <v>330</v>
      </c>
      <c r="P31" s="817"/>
      <c r="Q31" s="823"/>
      <c r="R31" s="815"/>
      <c r="S31" s="815"/>
      <c r="X31" s="97" t="s">
        <v>220</v>
      </c>
    </row>
    <row r="32" spans="1:34" ht="17.25" customHeight="1" x14ac:dyDescent="0.3">
      <c r="A32" s="839" t="s">
        <v>76</v>
      </c>
      <c r="B32" s="840"/>
      <c r="C32" s="840"/>
      <c r="D32" s="840"/>
      <c r="E32" s="90"/>
      <c r="F32" s="90"/>
      <c r="G32" s="714"/>
      <c r="H32" s="330" t="s">
        <v>60</v>
      </c>
      <c r="I32" s="405"/>
      <c r="J32" s="405"/>
      <c r="K32" s="405"/>
      <c r="L32" s="405"/>
      <c r="M32" s="712"/>
      <c r="N32" s="347">
        <v>2.65</v>
      </c>
      <c r="O32" s="612">
        <v>0.51</v>
      </c>
      <c r="P32" s="616">
        <f t="shared" ref="P32:P37" si="5">SUM(I32:M32)*O32</f>
        <v>0</v>
      </c>
      <c r="Q32" s="431">
        <f t="shared" ref="Q32:Q37" si="6">(I32+J32+K32+L32+M32)*N32</f>
        <v>0</v>
      </c>
      <c r="R32" s="428">
        <f>(I32*'Grundlagen GRUD'!C44)+(J32*'Grundlagen GRUD'!G44)+(K32*'Grundlagen GRUD'!I44)+(L32*'Grundlagen GRUD'!K44)</f>
        <v>0</v>
      </c>
      <c r="S32" s="428">
        <f>(J32*'Grundlagen GRUD'!H44/AB32)+(K32*'Grundlagen GRUD'!J44/AB32)+(L32*'Grundlagen GRUD'!L44/AB32)+(M32*'Grundlagen GRUD'!F44/AB32)</f>
        <v>0</v>
      </c>
      <c r="U32" s="367">
        <f t="shared" ref="U32:U37" si="7">I32*N32</f>
        <v>0</v>
      </c>
      <c r="X32" s="367">
        <f t="shared" ref="X32:X37" si="8">(I32+J32+K32+L32+M32)*O32</f>
        <v>0</v>
      </c>
      <c r="AB32" s="567">
        <v>0.8</v>
      </c>
      <c r="AH32" s="732">
        <f t="shared" ref="AH32:AH37" si="9">IF(AND(Q32&gt;0,G32=0),1,0)</f>
        <v>0</v>
      </c>
    </row>
    <row r="33" spans="1:34" ht="17.25" customHeight="1" x14ac:dyDescent="0.3">
      <c r="A33" s="839" t="s">
        <v>9</v>
      </c>
      <c r="B33" s="840"/>
      <c r="C33" s="840"/>
      <c r="D33" s="328"/>
      <c r="E33" s="39"/>
      <c r="F33" s="39"/>
      <c r="G33" s="715"/>
      <c r="H33" s="333" t="s">
        <v>59</v>
      </c>
      <c r="I33" s="405"/>
      <c r="J33" s="405"/>
      <c r="K33" s="405"/>
      <c r="L33" s="405"/>
      <c r="M33" s="712"/>
      <c r="N33" s="348">
        <v>1.47</v>
      </c>
      <c r="O33" s="612">
        <v>0.23</v>
      </c>
      <c r="P33" s="617">
        <f t="shared" si="5"/>
        <v>0</v>
      </c>
      <c r="Q33" s="431">
        <f t="shared" si="6"/>
        <v>0</v>
      </c>
      <c r="R33" s="428">
        <f>(I33*'Grundlagen GRUD'!C48)+(J33*'Grundlagen GRUD'!G48)+(K33*'Grundlagen GRUD'!I48)+(L33*'Grundlagen GRUD'!K48)</f>
        <v>0</v>
      </c>
      <c r="S33" s="428">
        <f>(J33*'Grundlagen GRUD'!H48/AB33)+(K33*'Grundlagen GRUD'!J48/AB33)+(L33*'Grundlagen GRUD'!L48/AB33)+(M33*'Grundlagen GRUD'!F48/AB33)</f>
        <v>0</v>
      </c>
      <c r="U33" s="367">
        <f t="shared" si="7"/>
        <v>0</v>
      </c>
      <c r="X33" s="367">
        <f t="shared" si="8"/>
        <v>0</v>
      </c>
      <c r="AB33" s="567">
        <v>0.8</v>
      </c>
      <c r="AH33" s="732">
        <f t="shared" si="9"/>
        <v>0</v>
      </c>
    </row>
    <row r="34" spans="1:34" ht="17.25" customHeight="1" x14ac:dyDescent="0.3">
      <c r="A34" s="839" t="s">
        <v>102</v>
      </c>
      <c r="B34" s="840"/>
      <c r="C34" s="840"/>
      <c r="D34" s="840"/>
      <c r="E34" s="840"/>
      <c r="F34" s="39"/>
      <c r="G34" s="715"/>
      <c r="H34" s="333" t="s">
        <v>60</v>
      </c>
      <c r="I34" s="405"/>
      <c r="J34" s="405"/>
      <c r="K34" s="405"/>
      <c r="L34" s="405"/>
      <c r="M34" s="712"/>
      <c r="N34" s="348">
        <v>1</v>
      </c>
      <c r="O34" s="612">
        <v>0.14000000000000001</v>
      </c>
      <c r="P34" s="617">
        <f t="shared" si="5"/>
        <v>0</v>
      </c>
      <c r="Q34" s="431">
        <f t="shared" si="6"/>
        <v>0</v>
      </c>
      <c r="R34" s="428">
        <f>(I34*'Grundlagen GRUD'!C43)+(J34*'Grundlagen GRUD'!G43)+(K34*'Grundlagen GRUD'!I43)+(L34*'Grundlagen GRUD'!K43)</f>
        <v>0</v>
      </c>
      <c r="S34" s="428">
        <f>(J34*'Grundlagen GRUD'!H43/AB34)+(K34*'Grundlagen GRUD'!J43/AB34)+(L34*'Grundlagen GRUD'!L43/AB34)+(M34*'Grundlagen GRUD'!F43/AB34)</f>
        <v>0</v>
      </c>
      <c r="U34" s="367">
        <f t="shared" si="7"/>
        <v>0</v>
      </c>
      <c r="X34" s="367">
        <f t="shared" si="8"/>
        <v>0</v>
      </c>
      <c r="AB34" s="567">
        <v>0.8</v>
      </c>
      <c r="AH34" s="732">
        <f t="shared" si="9"/>
        <v>0</v>
      </c>
    </row>
    <row r="35" spans="1:34" ht="17.25" customHeight="1" x14ac:dyDescent="0.3">
      <c r="A35" s="839" t="s">
        <v>103</v>
      </c>
      <c r="B35" s="840"/>
      <c r="C35" s="840"/>
      <c r="D35" s="328"/>
      <c r="E35" s="39"/>
      <c r="F35" s="39"/>
      <c r="G35" s="715"/>
      <c r="H35" s="333" t="s">
        <v>60</v>
      </c>
      <c r="I35" s="405"/>
      <c r="J35" s="405"/>
      <c r="K35" s="405"/>
      <c r="L35" s="405"/>
      <c r="M35" s="712"/>
      <c r="N35" s="348">
        <v>0.35</v>
      </c>
      <c r="O35" s="612">
        <v>0.04</v>
      </c>
      <c r="P35" s="617">
        <f t="shared" si="5"/>
        <v>0</v>
      </c>
      <c r="Q35" s="431">
        <f t="shared" si="6"/>
        <v>0</v>
      </c>
      <c r="R35" s="428">
        <f>(I35*'Grundlagen GRUD'!C46)+(J35*'Grundlagen GRUD'!G46)+(K35*'Grundlagen GRUD'!I46)+(L35*'Grundlagen GRUD'!K46)</f>
        <v>0</v>
      </c>
      <c r="S35" s="428">
        <f>(J35*'Grundlagen GRUD'!H46/AB35)+(K35*'Grundlagen GRUD'!J46/AB35)+(L35*'Grundlagen GRUD'!L46/AB35)+(M35*'Grundlagen GRUD'!F46/AB35)</f>
        <v>0</v>
      </c>
      <c r="U35" s="367">
        <f t="shared" si="7"/>
        <v>0</v>
      </c>
      <c r="X35" s="367">
        <f t="shared" si="8"/>
        <v>0</v>
      </c>
      <c r="AB35" s="567">
        <v>0.8</v>
      </c>
      <c r="AH35" s="732">
        <f t="shared" si="9"/>
        <v>0</v>
      </c>
    </row>
    <row r="36" spans="1:34" ht="17.25" customHeight="1" x14ac:dyDescent="0.3">
      <c r="A36" s="839" t="str">
        <f>'Grundlagen GRUD'!A47</f>
        <v xml:space="preserve">Säugende Zuchtsau </v>
      </c>
      <c r="B36" s="840"/>
      <c r="C36" s="840"/>
      <c r="D36" s="328"/>
      <c r="E36" s="39"/>
      <c r="F36" s="39"/>
      <c r="G36" s="715"/>
      <c r="H36" s="333" t="s">
        <v>60</v>
      </c>
      <c r="I36" s="405"/>
      <c r="J36" s="405"/>
      <c r="K36" s="405"/>
      <c r="L36" s="405"/>
      <c r="M36" s="712"/>
      <c r="N36" s="348">
        <v>3.24</v>
      </c>
      <c r="O36" s="612">
        <v>0.56000000000000005</v>
      </c>
      <c r="P36" s="617">
        <f t="shared" si="5"/>
        <v>0</v>
      </c>
      <c r="Q36" s="431">
        <f t="shared" si="6"/>
        <v>0</v>
      </c>
      <c r="R36" s="428">
        <f>(I36*'Grundlagen GRUD'!C47)+(J36*'Grundlagen GRUD'!G47)+(K36*'Grundlagen GRUD'!I47)+(L36*'Grundlagen GRUD'!K47)</f>
        <v>0</v>
      </c>
      <c r="S36" s="428">
        <f>(J36*'Grundlagen GRUD'!H47/AB36)+(K36*'Grundlagen GRUD'!J47/AB36)+(L36*'Grundlagen GRUD'!L47/AB36)+(M36*'Grundlagen GRUD'!F47/AB36)</f>
        <v>0</v>
      </c>
      <c r="U36" s="367">
        <f t="shared" si="7"/>
        <v>0</v>
      </c>
      <c r="X36" s="367">
        <f t="shared" si="8"/>
        <v>0</v>
      </c>
      <c r="AB36" s="567">
        <v>0.8</v>
      </c>
      <c r="AH36" s="732">
        <f t="shared" si="9"/>
        <v>0</v>
      </c>
    </row>
    <row r="37" spans="1:34" ht="17.25" customHeight="1" thickBot="1" x14ac:dyDescent="0.35">
      <c r="A37" s="858" t="s">
        <v>104</v>
      </c>
      <c r="B37" s="859"/>
      <c r="C37" s="859"/>
      <c r="D37" s="94"/>
      <c r="E37" s="49"/>
      <c r="F37" s="49"/>
      <c r="G37" s="718"/>
      <c r="H37" s="333" t="s">
        <v>60</v>
      </c>
      <c r="I37" s="409"/>
      <c r="J37" s="409"/>
      <c r="K37" s="409"/>
      <c r="L37" s="409"/>
      <c r="M37" s="713"/>
      <c r="N37" s="619">
        <v>1.53</v>
      </c>
      <c r="O37" s="613">
        <v>0.33</v>
      </c>
      <c r="P37" s="618">
        <f t="shared" si="5"/>
        <v>0</v>
      </c>
      <c r="Q37" s="432">
        <f t="shared" si="6"/>
        <v>0</v>
      </c>
      <c r="R37" s="428">
        <f>(I37*'Grundlagen GRUD'!C45)+(J37*'Grundlagen GRUD'!G45)+(K37*'Grundlagen GRUD'!I45)+(L37*'Grundlagen GRUD'!K45)</f>
        <v>0</v>
      </c>
      <c r="S37" s="428">
        <f>(J37*'Grundlagen GRUD'!H45/AB37)+(K37*'Grundlagen GRUD'!J45/AB37)+(L37*'Grundlagen GRUD'!L45/AB37)+(M37*'Grundlagen GRUD'!F45/AB37)</f>
        <v>0</v>
      </c>
      <c r="U37" s="367">
        <f t="shared" si="7"/>
        <v>0</v>
      </c>
      <c r="X37" s="367">
        <f t="shared" si="8"/>
        <v>0</v>
      </c>
      <c r="AB37" s="567">
        <v>0.8</v>
      </c>
      <c r="AH37" s="732">
        <f t="shared" si="9"/>
        <v>0</v>
      </c>
    </row>
    <row r="38" spans="1:34" ht="17.25" customHeight="1" thickBot="1" x14ac:dyDescent="0.35">
      <c r="A38" s="855" t="s">
        <v>31</v>
      </c>
      <c r="B38" s="856"/>
      <c r="C38" s="856"/>
      <c r="D38" s="856"/>
      <c r="E38" s="311"/>
      <c r="F38" s="311"/>
      <c r="G38" s="396"/>
      <c r="H38" s="270"/>
      <c r="I38" s="396"/>
      <c r="J38" s="396"/>
      <c r="K38" s="396"/>
      <c r="L38" s="396"/>
      <c r="M38" s="396"/>
      <c r="N38" s="596"/>
      <c r="O38" s="596"/>
      <c r="P38" s="626">
        <f>SUM(P32:P37)</f>
        <v>0</v>
      </c>
      <c r="Q38" s="433">
        <f>SUM(Q32:Q37)</f>
        <v>0</v>
      </c>
      <c r="R38" s="430">
        <f>SUM(R32:R37)</f>
        <v>0</v>
      </c>
      <c r="S38" s="430">
        <f>SUM(S32:S37)</f>
        <v>0</v>
      </c>
      <c r="U38" s="367">
        <f>SUM(U32:U37)</f>
        <v>0</v>
      </c>
      <c r="X38" s="394">
        <f>SUM(X32:X37)</f>
        <v>0</v>
      </c>
    </row>
    <row r="39" spans="1:34" ht="12.75" customHeight="1" thickBot="1" x14ac:dyDescent="0.35">
      <c r="A39" s="395"/>
      <c r="G39" s="108"/>
      <c r="H39" s="108"/>
      <c r="P39" s="55"/>
      <c r="S39" s="27"/>
    </row>
    <row r="40" spans="1:34" ht="15" customHeight="1" x14ac:dyDescent="0.25">
      <c r="A40" s="828" t="s">
        <v>24</v>
      </c>
      <c r="B40" s="829"/>
      <c r="C40" s="829"/>
      <c r="D40" s="829"/>
      <c r="E40" s="829"/>
      <c r="F40" s="830"/>
      <c r="G40" s="810" t="str">
        <f>IF(SUM(AH42:AH45)=0, "Assek-Nr Stall","Bitte Assek-Nr angeben")</f>
        <v>Assek-Nr Stall</v>
      </c>
      <c r="H40" s="808" t="s">
        <v>53</v>
      </c>
      <c r="I40" s="810" t="s">
        <v>40</v>
      </c>
      <c r="J40" s="806" t="s">
        <v>41</v>
      </c>
      <c r="K40" s="853" t="s">
        <v>174</v>
      </c>
      <c r="L40" s="853" t="s">
        <v>172</v>
      </c>
      <c r="M40" s="812"/>
      <c r="N40" s="818" t="s">
        <v>96</v>
      </c>
      <c r="O40" s="824" t="s">
        <v>330</v>
      </c>
      <c r="P40" s="820" t="s">
        <v>329</v>
      </c>
      <c r="Q40" s="822" t="s">
        <v>99</v>
      </c>
      <c r="R40" s="814" t="s">
        <v>128</v>
      </c>
      <c r="S40" s="814" t="s">
        <v>322</v>
      </c>
    </row>
    <row r="41" spans="1:34" ht="49.5" customHeight="1" thickBot="1" x14ac:dyDescent="0.3">
      <c r="A41" s="831"/>
      <c r="B41" s="832"/>
      <c r="C41" s="832"/>
      <c r="D41" s="832"/>
      <c r="E41" s="832"/>
      <c r="F41" s="833"/>
      <c r="G41" s="811"/>
      <c r="H41" s="809"/>
      <c r="I41" s="811"/>
      <c r="J41" s="807"/>
      <c r="K41" s="864"/>
      <c r="L41" s="854"/>
      <c r="M41" s="813"/>
      <c r="N41" s="819"/>
      <c r="O41" s="825"/>
      <c r="P41" s="821"/>
      <c r="Q41" s="823"/>
      <c r="R41" s="815"/>
      <c r="S41" s="815"/>
    </row>
    <row r="42" spans="1:34" ht="17.25" customHeight="1" x14ac:dyDescent="0.3">
      <c r="A42" s="839" t="s">
        <v>25</v>
      </c>
      <c r="B42" s="840"/>
      <c r="C42" s="328"/>
      <c r="D42" s="328"/>
      <c r="E42" s="39"/>
      <c r="F42" s="41"/>
      <c r="G42" s="470"/>
      <c r="H42" s="330" t="s">
        <v>78</v>
      </c>
      <c r="I42" s="405"/>
      <c r="J42" s="405"/>
      <c r="K42" s="407"/>
      <c r="L42" s="470"/>
      <c r="M42" s="845"/>
      <c r="N42" s="434">
        <v>1</v>
      </c>
      <c r="O42" s="614">
        <v>1.04</v>
      </c>
      <c r="P42" s="616">
        <f>SUM(I42:M42)*O42</f>
        <v>0</v>
      </c>
      <c r="Q42" s="601">
        <f>(I42+J42+K42+L42)*N42</f>
        <v>0</v>
      </c>
      <c r="R42" s="428">
        <f>K42*'Grundlagen GRUD'!F52+'Rindvieh, Schweine, Geflügel'!L42*'Grundlagen GRUD'!G52</f>
        <v>0</v>
      </c>
      <c r="S42" s="428">
        <f>(I42*'Grundlagen GRUD'!C52/AB42)+(J42*'Grundlagen GRUD'!D52/AC42)</f>
        <v>0</v>
      </c>
      <c r="U42" s="397"/>
      <c r="AB42" s="567">
        <v>0.9</v>
      </c>
      <c r="AC42" s="8">
        <v>0.6</v>
      </c>
      <c r="AH42" s="732">
        <f t="shared" ref="AH42:AH45" si="10">IF(AND(Q42&gt;0,G42=0),1,0)</f>
        <v>0</v>
      </c>
    </row>
    <row r="43" spans="1:34" ht="17.25" customHeight="1" x14ac:dyDescent="0.3">
      <c r="A43" s="839" t="s">
        <v>65</v>
      </c>
      <c r="B43" s="840"/>
      <c r="C43" s="328"/>
      <c r="D43" s="328"/>
      <c r="E43" s="39"/>
      <c r="F43" s="41"/>
      <c r="G43" s="471"/>
      <c r="H43" s="330" t="s">
        <v>78</v>
      </c>
      <c r="I43" s="405"/>
      <c r="J43" s="405"/>
      <c r="K43" s="406"/>
      <c r="L43" s="471"/>
      <c r="M43" s="846"/>
      <c r="N43" s="355">
        <v>0.4</v>
      </c>
      <c r="O43" s="614">
        <v>0.39</v>
      </c>
      <c r="P43" s="617">
        <f>SUM(I43:M43)*O43</f>
        <v>0</v>
      </c>
      <c r="Q43" s="431">
        <f>(I43+J43+K43+L43)*N43</f>
        <v>0</v>
      </c>
      <c r="R43" s="428">
        <f>K43*'Grundlagen GRUD'!F53+'Rindvieh, Schweine, Geflügel'!L43*'Grundlagen GRUD'!G53</f>
        <v>0</v>
      </c>
      <c r="S43" s="428">
        <f>(I43*'Grundlagen GRUD'!C53/AB43)+(J43*'Grundlagen GRUD'!D53/AC43)</f>
        <v>0</v>
      </c>
      <c r="U43" s="397"/>
      <c r="AB43" s="567">
        <v>0.9</v>
      </c>
      <c r="AC43" s="8">
        <v>0.6</v>
      </c>
      <c r="AH43" s="732">
        <f t="shared" si="10"/>
        <v>0</v>
      </c>
    </row>
    <row r="44" spans="1:34" ht="17.25" customHeight="1" x14ac:dyDescent="0.3">
      <c r="A44" s="839" t="s">
        <v>11</v>
      </c>
      <c r="B44" s="840"/>
      <c r="C44" s="328"/>
      <c r="D44" s="328"/>
      <c r="E44" s="39"/>
      <c r="F44" s="41"/>
      <c r="G44" s="471"/>
      <c r="H44" s="330" t="s">
        <v>78</v>
      </c>
      <c r="I44" s="826"/>
      <c r="J44" s="405"/>
      <c r="K44" s="843"/>
      <c r="L44" s="471"/>
      <c r="M44" s="846"/>
      <c r="N44" s="355">
        <v>0.4</v>
      </c>
      <c r="O44" s="614">
        <v>0.36</v>
      </c>
      <c r="P44" s="617">
        <f>SUM(I44:M44)*O44</f>
        <v>0</v>
      </c>
      <c r="Q44" s="601">
        <f>(J44+L44)*N44</f>
        <v>0</v>
      </c>
      <c r="R44" s="428">
        <f>'Rindvieh, Schweine, Geflügel'!L44*'Grundlagen GRUD'!G54</f>
        <v>0</v>
      </c>
      <c r="S44" s="428">
        <f>(J44*'Grundlagen GRUD'!D54/AC44)</f>
        <v>0</v>
      </c>
      <c r="U44" s="397"/>
      <c r="AC44" s="8">
        <v>0.5</v>
      </c>
      <c r="AH44" s="732">
        <f t="shared" si="10"/>
        <v>0</v>
      </c>
    </row>
    <row r="45" spans="1:34" ht="17.25" customHeight="1" thickBot="1" x14ac:dyDescent="0.35">
      <c r="A45" s="860" t="s">
        <v>66</v>
      </c>
      <c r="B45" s="861"/>
      <c r="C45" s="349"/>
      <c r="D45" s="349"/>
      <c r="E45" s="70"/>
      <c r="F45" s="398"/>
      <c r="G45" s="472"/>
      <c r="H45" s="399" t="s">
        <v>78</v>
      </c>
      <c r="I45" s="827"/>
      <c r="J45" s="405"/>
      <c r="K45" s="844"/>
      <c r="L45" s="472"/>
      <c r="M45" s="847"/>
      <c r="N45" s="615">
        <v>1.5</v>
      </c>
      <c r="O45" s="614">
        <v>1.67</v>
      </c>
      <c r="P45" s="618">
        <f>SUM(I45:M45)*O45</f>
        <v>0</v>
      </c>
      <c r="Q45" s="431">
        <f>(J45+L45)*N45</f>
        <v>0</v>
      </c>
      <c r="R45" s="428">
        <f>'Rindvieh, Schweine, Geflügel'!L45*'Grundlagen GRUD'!G55</f>
        <v>0</v>
      </c>
      <c r="S45" s="428">
        <f>(J45*'Grundlagen GRUD'!D55/AC45)</f>
        <v>0</v>
      </c>
      <c r="U45" s="397"/>
      <c r="AC45" s="8">
        <v>0.5</v>
      </c>
      <c r="AH45" s="732">
        <f t="shared" si="10"/>
        <v>0</v>
      </c>
    </row>
    <row r="46" spans="1:34" ht="17.25" customHeight="1" thickBot="1" x14ac:dyDescent="0.35">
      <c r="A46" s="855" t="s">
        <v>32</v>
      </c>
      <c r="B46" s="856"/>
      <c r="C46" s="856"/>
      <c r="D46" s="856"/>
      <c r="E46" s="856"/>
      <c r="F46" s="311"/>
      <c r="G46" s="396"/>
      <c r="H46" s="182"/>
      <c r="I46" s="396"/>
      <c r="J46" s="396"/>
      <c r="K46" s="400"/>
      <c r="L46" s="400"/>
      <c r="M46" s="396"/>
      <c r="N46" s="597"/>
      <c r="O46" s="597"/>
      <c r="P46" s="626">
        <f>SUM(P42:P45)</f>
        <v>0</v>
      </c>
      <c r="Q46" s="433">
        <f>SUM(Q42:Q45)</f>
        <v>0</v>
      </c>
      <c r="R46" s="430">
        <f>SUM(R42:R45)</f>
        <v>0</v>
      </c>
      <c r="S46" s="430">
        <f>SUM(S42:S45)</f>
        <v>0</v>
      </c>
    </row>
    <row r="47" spans="1:34" ht="14" x14ac:dyDescent="0.3">
      <c r="M47" s="401"/>
    </row>
  </sheetData>
  <sheetProtection algorithmName="SHA-512" hashValue="U4XI4QsHpvmwBBYqBxyVGtOUPk4oKc4gNFdHaZCrmrBgfbo8y+4Qt2CtUj1+eg970eWvi/WnIm0gcBDGHOVk9A==" saltValue="XPh9QDcWImR1zA2kVEHHvw==" spinCount="100000" sheet="1" selectLockedCells="1"/>
  <mergeCells count="89">
    <mergeCell ref="G30:G31"/>
    <mergeCell ref="G40:G41"/>
    <mergeCell ref="R4:S4"/>
    <mergeCell ref="K7:K9"/>
    <mergeCell ref="M7:M9"/>
    <mergeCell ref="J7:J9"/>
    <mergeCell ref="N7:N9"/>
    <mergeCell ref="R5:S5"/>
    <mergeCell ref="R7:R9"/>
    <mergeCell ref="S7:S9"/>
    <mergeCell ref="L7:L9"/>
    <mergeCell ref="A5:M6"/>
    <mergeCell ref="P7:P9"/>
    <mergeCell ref="G7:G9"/>
    <mergeCell ref="A15:B15"/>
    <mergeCell ref="A14:C14"/>
    <mergeCell ref="N1:S1"/>
    <mergeCell ref="N2:R2"/>
    <mergeCell ref="A2:M2"/>
    <mergeCell ref="A3:B3"/>
    <mergeCell ref="C3:D3"/>
    <mergeCell ref="R3:S3"/>
    <mergeCell ref="I3:L3"/>
    <mergeCell ref="F3:H3"/>
    <mergeCell ref="D12:E12"/>
    <mergeCell ref="C11:E11"/>
    <mergeCell ref="A13:C13"/>
    <mergeCell ref="A10:B10"/>
    <mergeCell ref="I7:I9"/>
    <mergeCell ref="A7:B9"/>
    <mergeCell ref="C9:F9"/>
    <mergeCell ref="H7:H9"/>
    <mergeCell ref="A24:D24"/>
    <mergeCell ref="A22:C22"/>
    <mergeCell ref="A27:D27"/>
    <mergeCell ref="A16:B16"/>
    <mergeCell ref="A17:E17"/>
    <mergeCell ref="I40:I41"/>
    <mergeCell ref="J40:J41"/>
    <mergeCell ref="K40:K41"/>
    <mergeCell ref="H40:H41"/>
    <mergeCell ref="A32:D32"/>
    <mergeCell ref="A46:E46"/>
    <mergeCell ref="C10:E10"/>
    <mergeCell ref="A37:C37"/>
    <mergeCell ref="A38:D38"/>
    <mergeCell ref="A42:B42"/>
    <mergeCell ref="A43:B43"/>
    <mergeCell ref="A30:F31"/>
    <mergeCell ref="A45:B45"/>
    <mergeCell ref="A23:D23"/>
    <mergeCell ref="A25:D25"/>
    <mergeCell ref="A21:C21"/>
    <mergeCell ref="A34:E34"/>
    <mergeCell ref="A35:C35"/>
    <mergeCell ref="A18:D18"/>
    <mergeCell ref="A20:D20"/>
    <mergeCell ref="A28:E28"/>
    <mergeCell ref="I44:I45"/>
    <mergeCell ref="A40:F41"/>
    <mergeCell ref="R40:R41"/>
    <mergeCell ref="Y7:Y9"/>
    <mergeCell ref="I26:L27"/>
    <mergeCell ref="A44:B44"/>
    <mergeCell ref="A36:C36"/>
    <mergeCell ref="A26:D26"/>
    <mergeCell ref="K44:K45"/>
    <mergeCell ref="M42:M45"/>
    <mergeCell ref="A33:C33"/>
    <mergeCell ref="T7:T9"/>
    <mergeCell ref="Q7:Q9"/>
    <mergeCell ref="Q40:Q41"/>
    <mergeCell ref="M30:M31"/>
    <mergeCell ref="L40:L41"/>
    <mergeCell ref="M40:M41"/>
    <mergeCell ref="S40:S41"/>
    <mergeCell ref="P30:P31"/>
    <mergeCell ref="N30:N31"/>
    <mergeCell ref="P40:P41"/>
    <mergeCell ref="N40:N41"/>
    <mergeCell ref="R30:R31"/>
    <mergeCell ref="Q30:Q31"/>
    <mergeCell ref="S30:S31"/>
    <mergeCell ref="O40:O41"/>
    <mergeCell ref="J30:J31"/>
    <mergeCell ref="K30:K31"/>
    <mergeCell ref="H30:H31"/>
    <mergeCell ref="I30:I31"/>
    <mergeCell ref="L30:L31"/>
  </mergeCells>
  <phoneticPr fontId="0" type="noConversion"/>
  <conditionalFormatting sqref="F10">
    <cfRule type="expression" dxfId="4" priority="17" stopIfTrue="1">
      <formula>IF(AND($Q$10&gt;0,$F$10=0),1,0)</formula>
    </cfRule>
  </conditionalFormatting>
  <conditionalFormatting sqref="G10:G16 G18:G21 G23:G25 G27 G32:G37 G42:G45">
    <cfRule type="expression" dxfId="3" priority="4" stopIfTrue="1">
      <formula>IF(AND(Q10&gt;0,G10=0),1,0)</formula>
    </cfRule>
  </conditionalFormatting>
  <conditionalFormatting sqref="G7 G30 G40">
    <cfRule type="containsText" dxfId="2" priority="3" operator="containsText" text="Bitte">
      <formula>NOT(ISERROR(SEARCH("Bitte",G7)))</formula>
    </cfRule>
  </conditionalFormatting>
  <dataValidations count="3">
    <dataValidation type="whole" allowBlank="1" showInputMessage="1" showErrorMessage="1" errorTitle="Ungültiger Wert" error="Bitte geben Sie eine gültige Anzahl ein." sqref="I10:M16 I18:M20 M21 K21 I23:M25 M27 I32:M37" xr:uid="{00000000-0002-0000-0100-000000000000}">
      <formula1>0</formula1>
      <formula2>9999</formula2>
    </dataValidation>
    <dataValidation type="custom" allowBlank="1" showInputMessage="1" showErrorMessage="1" errorTitle="Ungültiger Wert" error="Bitte geben Sie eine gültige Anzahl ein." sqref="F10" xr:uid="{00000000-0002-0000-0100-000001000000}">
      <formula1>IF(N10&gt;0,1,0)</formula1>
    </dataValidation>
    <dataValidation type="decimal" allowBlank="1" showInputMessage="1" showErrorMessage="1" errorTitle="Ungültiger Wert" error="Bitte geben Sie eine gültige Anzahl ein." sqref="I42:L43 J44:J45 L44:L45" xr:uid="{00000000-0002-0000-0100-000002000000}">
      <formula1>0</formula1>
      <formula2>9999</formula2>
    </dataValidation>
  </dataValidations>
  <printOptions horizontalCentered="1"/>
  <pageMargins left="0.39370078740157483" right="0.39370078740157483" top="0.38" bottom="0.33" header="0.26" footer="0.21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indexed="10"/>
    <pageSetUpPr fitToPage="1"/>
  </sheetPr>
  <dimension ref="A1:IW42"/>
  <sheetViews>
    <sheetView showGridLines="0" showZeros="0" zoomScale="80" zoomScaleNormal="80" workbookViewId="0">
      <selection activeCell="R10" sqref="R10"/>
    </sheetView>
  </sheetViews>
  <sheetFormatPr baseColWidth="10" defaultColWidth="11.453125" defaultRowHeight="12.5" x14ac:dyDescent="0.25"/>
  <cols>
    <col min="1" max="1" width="6" style="8" customWidth="1"/>
    <col min="2" max="2" width="21.453125" style="8" customWidth="1"/>
    <col min="3" max="3" width="7.7265625" style="8" customWidth="1"/>
    <col min="4" max="4" width="8.54296875" style="8" customWidth="1"/>
    <col min="5" max="5" width="6.7265625" style="8" customWidth="1"/>
    <col min="6" max="6" width="7.26953125" style="8" customWidth="1"/>
    <col min="7" max="7" width="8.1796875" style="8" customWidth="1"/>
    <col min="8" max="8" width="7.26953125" style="8" customWidth="1"/>
    <col min="9" max="12" width="7.7265625" style="8" customWidth="1"/>
    <col min="13" max="13" width="5.54296875" style="8" customWidth="1"/>
    <col min="14" max="15" width="5.26953125" style="108" customWidth="1"/>
    <col min="16" max="16" width="10.54296875" style="108" customWidth="1"/>
    <col min="17" max="19" width="9.7265625" style="8" customWidth="1"/>
    <col min="20" max="20" width="11.453125" style="575" hidden="1" customWidth="1"/>
    <col min="21" max="21" width="0" style="8" hidden="1" customWidth="1"/>
    <col min="22" max="22" width="11.453125" style="8"/>
    <col min="23" max="23" width="11.453125" style="729"/>
    <col min="24" max="16384" width="11.453125" style="8"/>
  </cols>
  <sheetData>
    <row r="1" spans="1:23" ht="72.75" customHeight="1" thickBot="1" x14ac:dyDescent="0.45">
      <c r="A1" s="266"/>
      <c r="B1" s="213"/>
      <c r="C1" s="30"/>
      <c r="D1" s="30"/>
      <c r="E1" s="30"/>
      <c r="F1" s="30"/>
      <c r="G1" s="30"/>
      <c r="H1" s="30"/>
      <c r="I1" s="30"/>
      <c r="J1" s="30"/>
      <c r="K1" s="213"/>
      <c r="L1" s="214"/>
      <c r="M1" s="214"/>
      <c r="N1" s="882" t="str">
        <f>'Adresse + Ergebnis '!A3</f>
        <v xml:space="preserve">Grundlage: GRUD 2017 </v>
      </c>
      <c r="O1" s="882"/>
      <c r="P1" s="882"/>
      <c r="Q1" s="883"/>
      <c r="R1" s="883"/>
      <c r="S1" s="883"/>
    </row>
    <row r="2" spans="1:23" ht="48.75" customHeight="1" x14ac:dyDescent="0.65">
      <c r="A2" s="885" t="s">
        <v>0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884">
        <f>'Adresse + Ergebnis '!N2</f>
        <v>0</v>
      </c>
      <c r="O2" s="884"/>
      <c r="P2" s="884"/>
      <c r="Q2" s="884"/>
      <c r="R2" s="884"/>
      <c r="S2" s="219" t="s">
        <v>217</v>
      </c>
    </row>
    <row r="3" spans="1:23" s="15" customFormat="1" ht="40.5" customHeight="1" x14ac:dyDescent="0.35">
      <c r="A3" s="25" t="s">
        <v>1</v>
      </c>
      <c r="B3" s="25"/>
      <c r="C3" s="938">
        <f>'Adresse + Ergebnis '!B5</f>
        <v>0</v>
      </c>
      <c r="D3" s="938"/>
      <c r="F3" s="892" t="s">
        <v>116</v>
      </c>
      <c r="G3" s="892"/>
      <c r="H3" s="892"/>
      <c r="I3" s="891" t="str">
        <f>'Rindvieh, Schweine, Geflügel'!I3</f>
        <v xml:space="preserve"> </v>
      </c>
      <c r="J3" s="891"/>
      <c r="K3" s="891"/>
      <c r="L3" s="891"/>
      <c r="N3" s="226" t="s">
        <v>2</v>
      </c>
      <c r="O3" s="226"/>
      <c r="P3" s="226"/>
      <c r="Q3" s="25"/>
      <c r="R3" s="890">
        <f>'Rindvieh, Schweine, Geflügel'!R3:S3</f>
        <v>0</v>
      </c>
      <c r="S3" s="891"/>
      <c r="T3" s="576"/>
      <c r="W3" s="730"/>
    </row>
    <row r="4" spans="1:23" s="15" customFormat="1" ht="24" customHeight="1" x14ac:dyDescent="0.35">
      <c r="C4" s="23"/>
      <c r="D4" s="23"/>
      <c r="F4" s="223"/>
      <c r="G4" s="223"/>
      <c r="I4" s="23"/>
      <c r="J4" s="107"/>
      <c r="K4" s="23"/>
      <c r="L4" s="107"/>
      <c r="N4" s="25" t="s">
        <v>34</v>
      </c>
      <c r="O4" s="25"/>
      <c r="P4" s="25"/>
      <c r="R4" s="893">
        <f>'Adresse + Ergebnis '!B11</f>
        <v>0</v>
      </c>
      <c r="S4" s="893"/>
      <c r="T4" s="576"/>
      <c r="W4" s="730"/>
    </row>
    <row r="5" spans="1:23" s="23" customFormat="1" ht="25.15" customHeight="1" x14ac:dyDescent="0.35">
      <c r="B5" s="15"/>
      <c r="D5" s="22"/>
      <c r="F5" s="15"/>
      <c r="G5" s="15"/>
      <c r="J5" s="222"/>
      <c r="K5" s="223"/>
      <c r="L5" s="12"/>
      <c r="N5" s="226" t="s">
        <v>4</v>
      </c>
      <c r="O5" s="226"/>
      <c r="P5" s="226"/>
      <c r="R5" s="936">
        <f>'Adresse + Ergebnis '!F11</f>
        <v>0</v>
      </c>
      <c r="S5" s="936"/>
      <c r="T5" s="577"/>
      <c r="W5" s="731"/>
    </row>
    <row r="6" spans="1:23" s="15" customFormat="1" ht="25.15" customHeight="1" x14ac:dyDescent="0.65">
      <c r="A6" s="899" t="s">
        <v>33</v>
      </c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23"/>
      <c r="Q6" s="223"/>
      <c r="T6" s="576"/>
      <c r="W6" s="730"/>
    </row>
    <row r="7" spans="1:23" ht="5.25" customHeight="1" thickBot="1" x14ac:dyDescent="0.3">
      <c r="N7" s="12"/>
      <c r="O7" s="12"/>
      <c r="P7" s="12"/>
      <c r="Q7" s="12"/>
      <c r="R7" s="12"/>
      <c r="S7" s="12"/>
    </row>
    <row r="8" spans="1:23" ht="60.75" customHeight="1" thickBot="1" x14ac:dyDescent="0.55000000000000004">
      <c r="A8" s="921" t="s">
        <v>6</v>
      </c>
      <c r="B8" s="922"/>
      <c r="C8" s="314"/>
      <c r="D8" s="315"/>
      <c r="E8" s="316"/>
      <c r="F8" s="182" t="s">
        <v>7</v>
      </c>
      <c r="G8" s="719" t="str">
        <f>IF(SUM(W9:W13)=0, "Assek.-Nr. Stall","Bitte Assek.-Nr. angeben")</f>
        <v>Assek.-Nr. Stall</v>
      </c>
      <c r="H8" s="317" t="s">
        <v>53</v>
      </c>
      <c r="I8" s="632" t="s">
        <v>199</v>
      </c>
      <c r="J8" s="633" t="s">
        <v>200</v>
      </c>
      <c r="K8" s="265"/>
      <c r="L8" s="934"/>
      <c r="M8" s="908"/>
      <c r="N8" s="345" t="s">
        <v>318</v>
      </c>
      <c r="O8" s="623" t="s">
        <v>337</v>
      </c>
      <c r="P8" s="689" t="s">
        <v>329</v>
      </c>
      <c r="Q8" s="319" t="s">
        <v>97</v>
      </c>
      <c r="R8" s="496" t="s">
        <v>129</v>
      </c>
      <c r="S8" s="591" t="s">
        <v>323</v>
      </c>
    </row>
    <row r="9" spans="1:23" s="25" customFormat="1" ht="14" x14ac:dyDescent="0.3">
      <c r="A9" s="869" t="s">
        <v>75</v>
      </c>
      <c r="B9" s="870"/>
      <c r="C9" s="870"/>
      <c r="D9" s="321"/>
      <c r="E9" s="322"/>
      <c r="F9" s="37"/>
      <c r="G9" s="720"/>
      <c r="H9" s="323" t="s">
        <v>60</v>
      </c>
      <c r="I9" s="411"/>
      <c r="J9" s="528"/>
      <c r="K9" s="324"/>
      <c r="L9" s="324"/>
      <c r="M9" s="324"/>
      <c r="N9" s="347">
        <v>0.7</v>
      </c>
      <c r="O9" s="625">
        <v>0.54</v>
      </c>
      <c r="P9" s="601">
        <f>(I9+J9)*O9</f>
        <v>0</v>
      </c>
      <c r="Q9" s="435">
        <f>(I9+J9)*N9</f>
        <v>0</v>
      </c>
      <c r="R9" s="508"/>
      <c r="S9" s="428">
        <f>(I9*'Grundlagen GRUD'!F33)/T9</f>
        <v>0</v>
      </c>
      <c r="T9" s="578">
        <v>0.8</v>
      </c>
      <c r="W9" s="732">
        <f>IF(AND(Q9&gt;0,G9=0),1,0)</f>
        <v>0</v>
      </c>
    </row>
    <row r="10" spans="1:23" s="25" customFormat="1" ht="14" x14ac:dyDescent="0.3">
      <c r="A10" s="744" t="s">
        <v>268</v>
      </c>
      <c r="B10" s="754"/>
      <c r="C10" s="754"/>
      <c r="D10" s="328"/>
      <c r="E10" s="329"/>
      <c r="F10" s="39"/>
      <c r="G10" s="715"/>
      <c r="H10" s="330" t="s">
        <v>60</v>
      </c>
      <c r="I10" s="408"/>
      <c r="J10" s="404"/>
      <c r="K10" s="12"/>
      <c r="L10" s="12"/>
      <c r="M10" s="622"/>
      <c r="N10" s="348">
        <v>1</v>
      </c>
      <c r="O10" s="609">
        <v>0.69</v>
      </c>
      <c r="P10" s="601">
        <f>(I10+J10)*O10</f>
        <v>0</v>
      </c>
      <c r="Q10" s="435">
        <f>(I10+J10)*N10</f>
        <v>0</v>
      </c>
      <c r="R10" s="509"/>
      <c r="S10" s="428">
        <f>(I10*'Grundlagen GRUD'!F34)/T10</f>
        <v>0</v>
      </c>
      <c r="T10" s="578">
        <v>0.8</v>
      </c>
      <c r="W10" s="732">
        <f t="shared" ref="W10:W12" si="0">IF(AND(Q10&gt;0,G10=0),1,0)</f>
        <v>0</v>
      </c>
    </row>
    <row r="11" spans="1:23" s="25" customFormat="1" ht="14" x14ac:dyDescent="0.3">
      <c r="A11" s="744" t="s">
        <v>275</v>
      </c>
      <c r="B11" s="754"/>
      <c r="C11" s="332"/>
      <c r="D11" s="328"/>
      <c r="E11" s="329"/>
      <c r="F11" s="39"/>
      <c r="G11" s="715"/>
      <c r="H11" s="330" t="s">
        <v>60</v>
      </c>
      <c r="I11" s="408"/>
      <c r="J11" s="404"/>
      <c r="K11" s="12"/>
      <c r="L11" s="12"/>
      <c r="M11" s="622"/>
      <c r="N11" s="348">
        <v>0.5</v>
      </c>
      <c r="O11" s="609">
        <v>0.47</v>
      </c>
      <c r="P11" s="601">
        <f>(I11+J11)*O11</f>
        <v>0</v>
      </c>
      <c r="Q11" s="435">
        <f>(I11+J11)*N11</f>
        <v>0</v>
      </c>
      <c r="R11" s="509"/>
      <c r="S11" s="428">
        <f>(I11*'Grundlagen GRUD'!F35)/T11</f>
        <v>0</v>
      </c>
      <c r="T11" s="578">
        <v>0.8</v>
      </c>
      <c r="W11" s="732">
        <f t="shared" si="0"/>
        <v>0</v>
      </c>
    </row>
    <row r="12" spans="1:23" s="25" customFormat="1" ht="14" x14ac:dyDescent="0.3">
      <c r="A12" s="744" t="s">
        <v>74</v>
      </c>
      <c r="B12" s="754"/>
      <c r="C12" s="332"/>
      <c r="D12" s="328"/>
      <c r="E12" s="329"/>
      <c r="F12" s="39"/>
      <c r="G12" s="715"/>
      <c r="H12" s="330" t="s">
        <v>60</v>
      </c>
      <c r="I12" s="408"/>
      <c r="J12" s="404"/>
      <c r="K12" s="12"/>
      <c r="L12" s="12"/>
      <c r="M12" s="622"/>
      <c r="N12" s="348">
        <v>0.3</v>
      </c>
      <c r="O12" s="609">
        <v>0.19</v>
      </c>
      <c r="P12" s="601">
        <f>(I12+J12)*O12</f>
        <v>0</v>
      </c>
      <c r="Q12" s="435">
        <f>(I12+J12)*N12</f>
        <v>0</v>
      </c>
      <c r="R12" s="509"/>
      <c r="S12" s="428">
        <f>(I12*'Grundlagen GRUD'!F32)/T12</f>
        <v>0</v>
      </c>
      <c r="T12" s="578">
        <v>0.8</v>
      </c>
      <c r="W12" s="732">
        <f t="shared" si="0"/>
        <v>0</v>
      </c>
    </row>
    <row r="13" spans="1:23" s="25" customFormat="1" ht="14.5" thickBot="1" x14ac:dyDescent="0.35">
      <c r="A13" s="744" t="s">
        <v>73</v>
      </c>
      <c r="B13" s="754"/>
      <c r="C13" s="332"/>
      <c r="D13" s="328"/>
      <c r="E13" s="329"/>
      <c r="F13" s="39"/>
      <c r="G13" s="718"/>
      <c r="H13" s="333" t="s">
        <v>60</v>
      </c>
      <c r="I13" s="529"/>
      <c r="J13" s="530"/>
      <c r="K13" s="214"/>
      <c r="L13" s="214"/>
      <c r="M13" s="214"/>
      <c r="N13" s="619">
        <v>0.4</v>
      </c>
      <c r="O13" s="611">
        <v>0.31</v>
      </c>
      <c r="P13" s="601">
        <f>(I13+J13)*O13</f>
        <v>0</v>
      </c>
      <c r="Q13" s="435">
        <f>(I13+J13)*N13</f>
        <v>0</v>
      </c>
      <c r="R13" s="510"/>
      <c r="S13" s="428">
        <f>(I13*'Grundlagen GRUD'!F31)/T13</f>
        <v>0</v>
      </c>
      <c r="T13" s="578">
        <v>0.8</v>
      </c>
      <c r="W13" s="732">
        <f>IF(AND(Q13&gt;0,G13=0),1,0)</f>
        <v>0</v>
      </c>
    </row>
    <row r="14" spans="1:23" s="24" customFormat="1" ht="15.75" customHeight="1" thickBot="1" x14ac:dyDescent="0.35">
      <c r="A14" s="334" t="s">
        <v>28</v>
      </c>
      <c r="B14" s="335"/>
      <c r="C14" s="336"/>
      <c r="D14" s="336"/>
      <c r="E14" s="337"/>
      <c r="F14" s="337"/>
      <c r="G14" s="337"/>
      <c r="H14" s="337"/>
      <c r="I14" s="337"/>
      <c r="J14" s="337"/>
      <c r="K14" s="337"/>
      <c r="L14" s="337"/>
      <c r="M14" s="337"/>
      <c r="N14" s="596"/>
      <c r="O14" s="624"/>
      <c r="P14" s="604">
        <f>SUM(P9:P13)</f>
        <v>0</v>
      </c>
      <c r="Q14" s="425">
        <f>SUM(Q9:Q13)</f>
        <v>0</v>
      </c>
      <c r="R14" s="507">
        <f>SUM(R9:R13)</f>
        <v>0</v>
      </c>
      <c r="S14" s="430">
        <f>SUM(S9:S13)</f>
        <v>0</v>
      </c>
      <c r="T14" s="579"/>
      <c r="W14" s="733"/>
    </row>
    <row r="15" spans="1:23" s="24" customFormat="1" ht="26.25" customHeight="1" thickBot="1" x14ac:dyDescent="0.35">
      <c r="C15" s="339"/>
      <c r="D15" s="339"/>
      <c r="E15" s="340"/>
      <c r="I15" s="340"/>
      <c r="N15" s="341"/>
      <c r="O15" s="341"/>
      <c r="P15" s="342"/>
      <c r="Q15" s="342"/>
      <c r="R15" s="342"/>
      <c r="S15" s="342"/>
      <c r="T15" s="580"/>
      <c r="W15" s="733"/>
    </row>
    <row r="16" spans="1:23" ht="60.75" customHeight="1" thickBot="1" x14ac:dyDescent="0.55000000000000004">
      <c r="A16" s="921" t="s">
        <v>91</v>
      </c>
      <c r="B16" s="922"/>
      <c r="C16" s="343"/>
      <c r="D16" s="344"/>
      <c r="E16" s="182"/>
      <c r="F16" s="182"/>
      <c r="G16" s="719" t="str">
        <f>IF(SUM(W17:W19)=0, "Assek.-Nr. Stall","Bitte Assek.-Nr. angeben")</f>
        <v>Assek.-Nr. Stall</v>
      </c>
      <c r="H16" s="724" t="s">
        <v>53</v>
      </c>
      <c r="I16" s="632" t="s">
        <v>199</v>
      </c>
      <c r="J16" s="633" t="s">
        <v>200</v>
      </c>
      <c r="K16" s="270"/>
      <c r="L16" s="928"/>
      <c r="M16" s="929"/>
      <c r="N16" s="345" t="s">
        <v>318</v>
      </c>
      <c r="O16" s="623" t="s">
        <v>337</v>
      </c>
      <c r="P16" s="689" t="s">
        <v>329</v>
      </c>
      <c r="Q16" s="346" t="s">
        <v>97</v>
      </c>
      <c r="R16" s="320" t="s">
        <v>129</v>
      </c>
      <c r="S16" s="591" t="s">
        <v>324</v>
      </c>
      <c r="T16" s="575" t="s">
        <v>319</v>
      </c>
    </row>
    <row r="17" spans="1:23" s="25" customFormat="1" ht="14" x14ac:dyDescent="0.3">
      <c r="A17" s="869" t="s">
        <v>269</v>
      </c>
      <c r="B17" s="870"/>
      <c r="C17" s="332"/>
      <c r="D17" s="321"/>
      <c r="E17" s="37"/>
      <c r="F17" s="37"/>
      <c r="G17" s="721"/>
      <c r="H17" s="725" t="s">
        <v>60</v>
      </c>
      <c r="I17" s="405"/>
      <c r="J17" s="405"/>
      <c r="K17" s="324"/>
      <c r="L17" s="324"/>
      <c r="M17" s="497"/>
      <c r="N17" s="347">
        <v>0.25</v>
      </c>
      <c r="O17" s="625">
        <v>0.22</v>
      </c>
      <c r="P17" s="616">
        <f>(I17+J17)*O17</f>
        <v>0</v>
      </c>
      <c r="Q17" s="431">
        <f>(I17+J17)*N17</f>
        <v>0</v>
      </c>
      <c r="R17" s="511"/>
      <c r="S17" s="428">
        <f>I17*'Grundlagen GRUD'!F39/T17</f>
        <v>0</v>
      </c>
      <c r="T17" s="578">
        <v>0.8</v>
      </c>
      <c r="W17" s="732">
        <f>IF(AND(Q17&gt;0,G17=0),1,0)</f>
        <v>0</v>
      </c>
    </row>
    <row r="18" spans="1:23" s="25" customFormat="1" ht="14" x14ac:dyDescent="0.3">
      <c r="A18" s="744" t="s">
        <v>270</v>
      </c>
      <c r="B18" s="754"/>
      <c r="C18" s="332"/>
      <c r="D18" s="332"/>
      <c r="E18" s="39"/>
      <c r="F18" s="39"/>
      <c r="G18" s="715"/>
      <c r="H18" s="726" t="s">
        <v>60</v>
      </c>
      <c r="I18" s="405"/>
      <c r="J18" s="405"/>
      <c r="K18" s="12"/>
      <c r="L18" s="12"/>
      <c r="M18" s="499"/>
      <c r="N18" s="348">
        <v>0.17</v>
      </c>
      <c r="O18" s="609">
        <v>0.15</v>
      </c>
      <c r="P18" s="694">
        <f>(I18+J18)*O18</f>
        <v>0</v>
      </c>
      <c r="Q18" s="431">
        <f>(I18+J18)*N18</f>
        <v>0</v>
      </c>
      <c r="R18" s="509"/>
      <c r="S18" s="428">
        <f>I18*'Grundlagen GRUD'!F38/T18</f>
        <v>0</v>
      </c>
      <c r="T18" s="578">
        <v>0.8</v>
      </c>
      <c r="V18" s="432">
        <f>(N18+Q18)*U18</f>
        <v>0</v>
      </c>
      <c r="W18" s="732">
        <f t="shared" ref="W18:W19" si="1">IF(AND(Q18&gt;0,G18=0),1,0)</f>
        <v>0</v>
      </c>
    </row>
    <row r="19" spans="1:23" s="25" customFormat="1" ht="14.5" thickBot="1" x14ac:dyDescent="0.35">
      <c r="A19" s="923" t="s">
        <v>79</v>
      </c>
      <c r="B19" s="887"/>
      <c r="C19" s="349"/>
      <c r="D19" s="350"/>
      <c r="E19" s="39"/>
      <c r="F19" s="39"/>
      <c r="G19" s="718"/>
      <c r="H19" s="727" t="s">
        <v>59</v>
      </c>
      <c r="I19" s="405"/>
      <c r="J19" s="405"/>
      <c r="K19" s="214"/>
      <c r="L19" s="214"/>
      <c r="M19" s="498"/>
      <c r="N19" s="348">
        <v>0.03</v>
      </c>
      <c r="O19" s="611">
        <v>0.02</v>
      </c>
      <c r="P19" s="695">
        <f>(I19+J19)*O19</f>
        <v>0</v>
      </c>
      <c r="Q19" s="431">
        <f>(I19+J19)*N19</f>
        <v>0</v>
      </c>
      <c r="R19" s="512"/>
      <c r="S19" s="428">
        <f>I19*'Grundlagen GRUD'!F41/T19</f>
        <v>0</v>
      </c>
      <c r="T19" s="578">
        <v>0.8</v>
      </c>
      <c r="W19" s="732">
        <f t="shared" si="1"/>
        <v>0</v>
      </c>
    </row>
    <row r="20" spans="1:23" s="24" customFormat="1" ht="15.75" customHeight="1" thickBot="1" x14ac:dyDescent="0.35">
      <c r="A20" s="334" t="s">
        <v>29</v>
      </c>
      <c r="B20" s="335"/>
      <c r="C20" s="336"/>
      <c r="D20" s="336"/>
      <c r="E20" s="337"/>
      <c r="F20" s="337"/>
      <c r="G20" s="337"/>
      <c r="H20" s="337"/>
      <c r="I20" s="337"/>
      <c r="J20" s="337"/>
      <c r="K20" s="337"/>
      <c r="L20" s="337"/>
      <c r="M20" s="337"/>
      <c r="N20" s="597"/>
      <c r="O20" s="624"/>
      <c r="P20" s="626">
        <f>SUM(P17:P19)</f>
        <v>0</v>
      </c>
      <c r="Q20" s="433">
        <f>SUM(Q17:Q19)</f>
        <v>0</v>
      </c>
      <c r="R20" s="338">
        <f>SUM(R17:R19)</f>
        <v>0</v>
      </c>
      <c r="S20" s="430">
        <f>SUM(S17:S19)</f>
        <v>0</v>
      </c>
      <c r="T20" s="579"/>
      <c r="W20" s="733"/>
    </row>
    <row r="21" spans="1:23" s="25" customFormat="1" ht="26.25" customHeight="1" thickBot="1" x14ac:dyDescent="0.35">
      <c r="B21" s="339"/>
      <c r="C21" s="351"/>
      <c r="D21" s="351"/>
      <c r="G21" s="8"/>
      <c r="I21" s="352"/>
      <c r="M21" s="8"/>
      <c r="N21" s="353"/>
      <c r="O21" s="353"/>
      <c r="P21" s="690"/>
      <c r="Q21" s="354"/>
      <c r="R21" s="354"/>
      <c r="S21" s="354"/>
      <c r="T21" s="581"/>
      <c r="W21" s="732"/>
    </row>
    <row r="22" spans="1:23" ht="60.75" customHeight="1" thickBot="1" x14ac:dyDescent="0.55000000000000004">
      <c r="A22" s="921" t="s">
        <v>23</v>
      </c>
      <c r="B22" s="922"/>
      <c r="C22" s="343"/>
      <c r="D22" s="344"/>
      <c r="E22" s="182"/>
      <c r="F22" s="182"/>
      <c r="G22" s="728" t="str">
        <f>IF(SUM(W23:W25)=0, "Assek.-Nr. Stall","Bitte Assek.-Nr. angeben")</f>
        <v>Assek.-Nr. Stall</v>
      </c>
      <c r="H22" s="724" t="s">
        <v>53</v>
      </c>
      <c r="I22" s="632" t="s">
        <v>199</v>
      </c>
      <c r="J22" s="633" t="s">
        <v>200</v>
      </c>
      <c r="K22" s="270"/>
      <c r="L22" s="928"/>
      <c r="M22" s="929"/>
      <c r="N22" s="345" t="s">
        <v>318</v>
      </c>
      <c r="O22" s="623" t="s">
        <v>337</v>
      </c>
      <c r="P22" s="689" t="s">
        <v>329</v>
      </c>
      <c r="Q22" s="319" t="s">
        <v>97</v>
      </c>
      <c r="R22" s="320" t="s">
        <v>129</v>
      </c>
      <c r="S22" s="591" t="s">
        <v>323</v>
      </c>
      <c r="T22" s="575" t="s">
        <v>319</v>
      </c>
    </row>
    <row r="23" spans="1:23" s="25" customFormat="1" ht="14" x14ac:dyDescent="0.3">
      <c r="A23" s="932" t="s">
        <v>271</v>
      </c>
      <c r="B23" s="933"/>
      <c r="C23" s="321"/>
      <c r="D23" s="933"/>
      <c r="E23" s="933"/>
      <c r="F23" s="37"/>
      <c r="G23" s="715"/>
      <c r="H23" s="725" t="s">
        <v>60</v>
      </c>
      <c r="I23" s="405"/>
      <c r="J23" s="405"/>
      <c r="K23" s="65"/>
      <c r="L23" s="65"/>
      <c r="M23" s="504"/>
      <c r="N23" s="347">
        <v>0.2</v>
      </c>
      <c r="O23" s="693">
        <v>0.19</v>
      </c>
      <c r="P23" s="601">
        <f>(I23+J23)*O23</f>
        <v>0</v>
      </c>
      <c r="Q23" s="435">
        <f>(I23+J23)*N23</f>
        <v>0</v>
      </c>
      <c r="R23" s="508"/>
      <c r="S23" s="428">
        <f>I23*'Grundlagen GRUD'!F37/T23</f>
        <v>0</v>
      </c>
      <c r="T23" s="578">
        <v>0.8</v>
      </c>
      <c r="W23" s="732">
        <f>IF(AND(Q23&gt;0,G23=0),1,0)</f>
        <v>0</v>
      </c>
    </row>
    <row r="24" spans="1:23" s="25" customFormat="1" ht="14" x14ac:dyDescent="0.3">
      <c r="A24" s="744" t="s">
        <v>272</v>
      </c>
      <c r="B24" s="754"/>
      <c r="C24" s="328"/>
      <c r="D24" s="332"/>
      <c r="E24" s="39"/>
      <c r="F24" s="39"/>
      <c r="G24" s="715"/>
      <c r="H24" s="727" t="s">
        <v>60</v>
      </c>
      <c r="I24" s="405"/>
      <c r="J24" s="405"/>
      <c r="M24" s="505"/>
      <c r="N24" s="355">
        <v>0.17</v>
      </c>
      <c r="O24" s="614">
        <v>0.16</v>
      </c>
      <c r="P24" s="601">
        <f>(I24+J24)*O24</f>
        <v>0</v>
      </c>
      <c r="Q24" s="435">
        <f>(I24+J24)*N24</f>
        <v>0</v>
      </c>
      <c r="R24" s="512"/>
      <c r="S24" s="428">
        <f>I24*'Grundlagen GRUD'!F40/T24</f>
        <v>0</v>
      </c>
      <c r="T24" s="578">
        <v>0.8</v>
      </c>
      <c r="W24" s="732">
        <f t="shared" ref="W24:W25" si="2">IF(AND(Q24&gt;0,G24=0),1,0)</f>
        <v>0</v>
      </c>
    </row>
    <row r="25" spans="1:23" s="25" customFormat="1" ht="14.5" thickBot="1" x14ac:dyDescent="0.35">
      <c r="A25" s="858" t="s">
        <v>201</v>
      </c>
      <c r="B25" s="859"/>
      <c r="C25" s="332"/>
      <c r="D25" s="350"/>
      <c r="E25" s="39"/>
      <c r="F25" s="39"/>
      <c r="G25" s="718"/>
      <c r="H25" s="727" t="s">
        <v>59</v>
      </c>
      <c r="I25" s="405"/>
      <c r="J25" s="405"/>
      <c r="K25" s="94"/>
      <c r="L25" s="94"/>
      <c r="M25" s="506"/>
      <c r="N25" s="355">
        <v>0.03</v>
      </c>
      <c r="O25" s="627">
        <v>0.02</v>
      </c>
      <c r="P25" s="601">
        <f>(I25+J25)*O25</f>
        <v>0</v>
      </c>
      <c r="Q25" s="435">
        <f>(I25+J25)*N25</f>
        <v>0</v>
      </c>
      <c r="R25" s="512"/>
      <c r="S25" s="428">
        <f>I25*'Grundlagen GRUD'!F41/T25</f>
        <v>0</v>
      </c>
      <c r="T25" s="578">
        <v>0.8</v>
      </c>
      <c r="W25" s="732">
        <f t="shared" si="2"/>
        <v>0</v>
      </c>
    </row>
    <row r="26" spans="1:23" s="24" customFormat="1" ht="15.75" customHeight="1" thickBot="1" x14ac:dyDescent="0.35">
      <c r="A26" s="334" t="s">
        <v>30</v>
      </c>
      <c r="B26" s="335"/>
      <c r="C26" s="336"/>
      <c r="D26" s="336"/>
      <c r="E26" s="337"/>
      <c r="F26" s="337"/>
      <c r="G26" s="337"/>
      <c r="H26" s="337"/>
      <c r="I26" s="337"/>
      <c r="J26" s="337"/>
      <c r="K26" s="337"/>
      <c r="L26" s="337"/>
      <c r="M26" s="337"/>
      <c r="N26" s="597"/>
      <c r="O26" s="597"/>
      <c r="P26" s="626">
        <f>SUM(P23:P25)</f>
        <v>0</v>
      </c>
      <c r="Q26" s="425">
        <f>SUM(Q23:Q25)</f>
        <v>0</v>
      </c>
      <c r="R26" s="338">
        <f>SUM(R23:R25)</f>
        <v>0</v>
      </c>
      <c r="S26" s="430">
        <f>SUM(S23:S25)</f>
        <v>0</v>
      </c>
      <c r="T26" s="580"/>
      <c r="W26" s="733"/>
    </row>
    <row r="27" spans="1:23" s="24" customFormat="1" ht="27" customHeight="1" thickBot="1" x14ac:dyDescent="0.35">
      <c r="A27" s="356"/>
      <c r="B27" s="356"/>
      <c r="C27" s="339"/>
      <c r="D27" s="339"/>
      <c r="E27" s="340"/>
      <c r="F27" s="340"/>
      <c r="G27" s="340"/>
      <c r="H27" s="340"/>
      <c r="I27" s="340"/>
      <c r="J27" s="340"/>
      <c r="K27" s="340"/>
      <c r="L27" s="340"/>
      <c r="M27" s="340"/>
      <c r="N27" s="357"/>
      <c r="O27" s="357"/>
      <c r="P27" s="691"/>
      <c r="Q27" s="358"/>
      <c r="R27" s="358"/>
      <c r="S27" s="358"/>
      <c r="T27" s="580"/>
      <c r="W27" s="733"/>
    </row>
    <row r="28" spans="1:23" ht="60.75" customHeight="1" thickBot="1" x14ac:dyDescent="0.55000000000000004">
      <c r="A28" s="921" t="s">
        <v>26</v>
      </c>
      <c r="B28" s="922"/>
      <c r="C28" s="343"/>
      <c r="D28" s="344"/>
      <c r="E28" s="182"/>
      <c r="F28" s="182"/>
      <c r="G28" s="728" t="str">
        <f>IF(SUM(W29:W30)=0, "Assek.-Nr. Stall","Bitte Assek.-Nr. angeben")</f>
        <v>Assek.-Nr. Stall</v>
      </c>
      <c r="H28" s="724" t="s">
        <v>53</v>
      </c>
      <c r="I28" s="318" t="s">
        <v>199</v>
      </c>
      <c r="J28" s="359" t="s">
        <v>200</v>
      </c>
      <c r="K28" s="930"/>
      <c r="L28" s="908"/>
      <c r="M28" s="931"/>
      <c r="N28" s="345" t="s">
        <v>318</v>
      </c>
      <c r="O28" s="623" t="s">
        <v>337</v>
      </c>
      <c r="P28" s="689" t="s">
        <v>329</v>
      </c>
      <c r="Q28" s="346" t="s">
        <v>97</v>
      </c>
      <c r="R28" s="320" t="s">
        <v>129</v>
      </c>
      <c r="S28" s="591" t="s">
        <v>323</v>
      </c>
    </row>
    <row r="29" spans="1:23" s="25" customFormat="1" ht="14" x14ac:dyDescent="0.3">
      <c r="A29" s="744" t="s">
        <v>191</v>
      </c>
      <c r="B29" s="754"/>
      <c r="C29" s="924"/>
      <c r="D29" s="924"/>
      <c r="E29" s="924"/>
      <c r="F29" s="37"/>
      <c r="G29" s="720"/>
      <c r="H29" s="726" t="s">
        <v>78</v>
      </c>
      <c r="I29" s="405"/>
      <c r="J29" s="470"/>
      <c r="K29" s="324"/>
      <c r="L29" s="909"/>
      <c r="M29" s="910"/>
      <c r="N29" s="347">
        <v>3.4</v>
      </c>
      <c r="O29" s="628">
        <v>3.38</v>
      </c>
      <c r="P29" s="616">
        <f>(I29+J29)*O29</f>
        <v>0</v>
      </c>
      <c r="Q29" s="431">
        <f>(I29+J29)*N29</f>
        <v>0</v>
      </c>
      <c r="R29" s="326">
        <f>J29*'Grundlagen GRUD'!G68</f>
        <v>0</v>
      </c>
      <c r="S29" s="428">
        <f>I29*'Grundlagen GRUD'!F68/T29</f>
        <v>0</v>
      </c>
      <c r="T29" s="578">
        <v>0.8</v>
      </c>
      <c r="W29" s="732">
        <f>IF(AND(Q29&gt;0,G29=0),1,0)</f>
        <v>0</v>
      </c>
    </row>
    <row r="30" spans="1:23" s="25" customFormat="1" ht="14.5" thickBot="1" x14ac:dyDescent="0.35">
      <c r="A30" s="925" t="s">
        <v>192</v>
      </c>
      <c r="B30" s="926"/>
      <c r="C30" s="927"/>
      <c r="D30" s="927"/>
      <c r="E30" s="927"/>
      <c r="F30" s="39"/>
      <c r="G30" s="717"/>
      <c r="H30" s="726" t="s">
        <v>78</v>
      </c>
      <c r="I30" s="405"/>
      <c r="J30" s="412"/>
      <c r="L30" s="883"/>
      <c r="M30" s="911"/>
      <c r="N30" s="348">
        <v>1.1000000000000001</v>
      </c>
      <c r="O30" s="629">
        <v>1.06</v>
      </c>
      <c r="P30" s="695">
        <f>(I30+J30)*O30</f>
        <v>0</v>
      </c>
      <c r="Q30" s="431">
        <f>(I30+J30)*N30</f>
        <v>0</v>
      </c>
      <c r="R30" s="327">
        <f>J30*'Grundlagen GRUD'!G69</f>
        <v>0</v>
      </c>
      <c r="S30" s="428">
        <f>I30*'Grundlagen GRUD'!F69/T30</f>
        <v>0</v>
      </c>
      <c r="T30" s="578">
        <v>0.8</v>
      </c>
      <c r="W30" s="732">
        <f>IF(AND(Q30&gt;0,G30=0),1,0)</f>
        <v>0</v>
      </c>
    </row>
    <row r="31" spans="1:23" s="24" customFormat="1" ht="15.75" customHeight="1" thickBot="1" x14ac:dyDescent="0.35">
      <c r="A31" s="334" t="s">
        <v>198</v>
      </c>
      <c r="B31" s="335"/>
      <c r="C31" s="336"/>
      <c r="D31" s="336"/>
      <c r="E31" s="337"/>
      <c r="F31" s="337"/>
      <c r="G31" s="337"/>
      <c r="H31" s="337"/>
      <c r="I31" s="337"/>
      <c r="J31" s="337"/>
      <c r="K31" s="337"/>
      <c r="L31" s="337"/>
      <c r="M31" s="337"/>
      <c r="N31" s="597"/>
      <c r="O31" s="631"/>
      <c r="P31" s="626">
        <f>SUM(P29:P30)</f>
        <v>0</v>
      </c>
      <c r="Q31" s="433">
        <f>SUM(Q29:Q30)</f>
        <v>0</v>
      </c>
      <c r="R31" s="338">
        <f>SUM(R29:R30)</f>
        <v>0</v>
      </c>
      <c r="S31" s="430">
        <f>SUM(S29:S30)</f>
        <v>0</v>
      </c>
      <c r="T31" s="579"/>
      <c r="W31" s="733"/>
    </row>
    <row r="32" spans="1:23" ht="27" customHeight="1" thickBot="1" x14ac:dyDescent="0.35">
      <c r="P32" s="55"/>
    </row>
    <row r="33" spans="1:257" ht="61.5" customHeight="1" thickBot="1" x14ac:dyDescent="0.55000000000000004">
      <c r="A33" s="921" t="s">
        <v>188</v>
      </c>
      <c r="B33" s="922"/>
      <c r="C33" s="922"/>
      <c r="D33" s="922"/>
      <c r="E33" s="922"/>
      <c r="F33" s="922"/>
      <c r="G33" s="728" t="str">
        <f>IF(SUM(W34:W41)=0, "Assek.-Nr. Stall","Bitte Assek.-Nr. angeben")</f>
        <v>Assek.-Nr. Stall</v>
      </c>
      <c r="H33" s="724" t="s">
        <v>53</v>
      </c>
      <c r="I33" s="632" t="s">
        <v>199</v>
      </c>
      <c r="J33" s="360"/>
      <c r="K33" s="912"/>
      <c r="L33" s="913"/>
      <c r="M33" s="914"/>
      <c r="N33" s="345" t="s">
        <v>318</v>
      </c>
      <c r="O33" s="605" t="s">
        <v>337</v>
      </c>
      <c r="P33" s="689" t="s">
        <v>329</v>
      </c>
      <c r="Q33" s="346" t="s">
        <v>97</v>
      </c>
      <c r="R33" s="320"/>
      <c r="S33" s="591" t="s">
        <v>323</v>
      </c>
    </row>
    <row r="34" spans="1:257" s="90" customFormat="1" ht="15" customHeight="1" x14ac:dyDescent="0.3">
      <c r="A34" s="869" t="s">
        <v>85</v>
      </c>
      <c r="B34" s="870"/>
      <c r="C34" s="332"/>
      <c r="D34" s="332"/>
      <c r="E34" s="37"/>
      <c r="F34" s="37"/>
      <c r="G34" s="715"/>
      <c r="H34" s="725" t="s">
        <v>60</v>
      </c>
      <c r="I34" s="405"/>
      <c r="J34" s="361"/>
      <c r="K34" s="324"/>
      <c r="L34" s="915"/>
      <c r="M34" s="916"/>
      <c r="N34" s="347">
        <v>0.8</v>
      </c>
      <c r="O34" s="628">
        <v>0.71</v>
      </c>
      <c r="P34" s="616">
        <f t="shared" ref="P34:P41" si="3">(I34+J34)*O34</f>
        <v>0</v>
      </c>
      <c r="Q34" s="431">
        <f t="shared" ref="Q34:Q41" si="4">(I34+M34)*N34</f>
        <v>0</v>
      </c>
      <c r="R34" s="362"/>
      <c r="S34" s="428">
        <f>I34*'Grundlagen GRUD'!F57/T34</f>
        <v>0</v>
      </c>
      <c r="T34" s="581">
        <v>0.8</v>
      </c>
      <c r="U34" s="25"/>
      <c r="V34" s="25"/>
      <c r="W34" s="732">
        <f>IF(AND(Q34&gt;0,G34=0),1,0)</f>
        <v>0</v>
      </c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spans="1:257" s="25" customFormat="1" ht="14" x14ac:dyDescent="0.3">
      <c r="A35" s="744" t="s">
        <v>86</v>
      </c>
      <c r="B35" s="754"/>
      <c r="C35" s="332"/>
      <c r="D35" s="332"/>
      <c r="E35" s="39"/>
      <c r="F35" s="39"/>
      <c r="G35" s="715"/>
      <c r="H35" s="726" t="s">
        <v>60</v>
      </c>
      <c r="I35" s="405"/>
      <c r="J35" s="331"/>
      <c r="K35" s="12"/>
      <c r="L35" s="917"/>
      <c r="M35" s="918"/>
      <c r="N35" s="348">
        <v>0.4</v>
      </c>
      <c r="O35" s="630">
        <v>0.24</v>
      </c>
      <c r="P35" s="694">
        <f t="shared" si="3"/>
        <v>0</v>
      </c>
      <c r="Q35" s="431">
        <f t="shared" si="4"/>
        <v>0</v>
      </c>
      <c r="R35" s="363"/>
      <c r="S35" s="428">
        <f>I35*'Grundlagen GRUD'!F58/T35</f>
        <v>0</v>
      </c>
      <c r="T35" s="581">
        <v>0.8</v>
      </c>
      <c r="W35" s="732">
        <f t="shared" ref="W35:W41" si="5">IF(AND(Q35&gt;0,G35=0),1,0)</f>
        <v>0</v>
      </c>
    </row>
    <row r="36" spans="1:257" s="25" customFormat="1" ht="14" x14ac:dyDescent="0.3">
      <c r="A36" s="744" t="s">
        <v>87</v>
      </c>
      <c r="B36" s="754"/>
      <c r="C36" s="332"/>
      <c r="D36" s="332"/>
      <c r="E36" s="39"/>
      <c r="F36" s="39"/>
      <c r="G36" s="715"/>
      <c r="H36" s="726" t="s">
        <v>60</v>
      </c>
      <c r="I36" s="405"/>
      <c r="J36" s="331"/>
      <c r="K36" s="12"/>
      <c r="L36" s="917"/>
      <c r="M36" s="918"/>
      <c r="N36" s="348">
        <v>0.1</v>
      </c>
      <c r="O36" s="630">
        <v>0.1</v>
      </c>
      <c r="P36" s="694">
        <f t="shared" si="3"/>
        <v>0</v>
      </c>
      <c r="Q36" s="431">
        <f t="shared" si="4"/>
        <v>0</v>
      </c>
      <c r="R36" s="363"/>
      <c r="S36" s="428">
        <f>I36*'Grundlagen GRUD'!F59/T36</f>
        <v>0</v>
      </c>
      <c r="T36" s="581">
        <v>0.8</v>
      </c>
      <c r="W36" s="732">
        <f t="shared" si="5"/>
        <v>0</v>
      </c>
    </row>
    <row r="37" spans="1:257" s="25" customFormat="1" ht="14" x14ac:dyDescent="0.3">
      <c r="A37" s="744" t="s">
        <v>80</v>
      </c>
      <c r="B37" s="754"/>
      <c r="C37" s="332"/>
      <c r="D37" s="332"/>
      <c r="E37" s="39"/>
      <c r="F37" s="39"/>
      <c r="G37" s="715"/>
      <c r="H37" s="726" t="s">
        <v>60</v>
      </c>
      <c r="I37" s="405"/>
      <c r="J37" s="331"/>
      <c r="K37" s="12"/>
      <c r="L37" s="917"/>
      <c r="M37" s="918"/>
      <c r="N37" s="348">
        <v>0.2</v>
      </c>
      <c r="O37" s="630">
        <v>0.2</v>
      </c>
      <c r="P37" s="694">
        <f t="shared" si="3"/>
        <v>0</v>
      </c>
      <c r="Q37" s="431">
        <f t="shared" si="4"/>
        <v>0</v>
      </c>
      <c r="R37" s="363"/>
      <c r="S37" s="428">
        <f>I37*'Grundlagen GRUD'!F60/T37</f>
        <v>0</v>
      </c>
      <c r="T37" s="581">
        <v>0.8</v>
      </c>
      <c r="W37" s="732">
        <f t="shared" si="5"/>
        <v>0</v>
      </c>
    </row>
    <row r="38" spans="1:257" s="25" customFormat="1" ht="14" x14ac:dyDescent="0.3">
      <c r="A38" s="744" t="s">
        <v>81</v>
      </c>
      <c r="B38" s="754"/>
      <c r="C38" s="332"/>
      <c r="D38" s="332"/>
      <c r="E38" s="39"/>
      <c r="F38" s="39"/>
      <c r="G38" s="715"/>
      <c r="H38" s="726" t="s">
        <v>60</v>
      </c>
      <c r="I38" s="405"/>
      <c r="J38" s="331"/>
      <c r="K38" s="12"/>
      <c r="L38" s="917"/>
      <c r="M38" s="918"/>
      <c r="N38" s="348">
        <v>0.17</v>
      </c>
      <c r="O38" s="630">
        <v>0.17</v>
      </c>
      <c r="P38" s="694">
        <f t="shared" si="3"/>
        <v>0</v>
      </c>
      <c r="Q38" s="431">
        <f t="shared" si="4"/>
        <v>0</v>
      </c>
      <c r="R38" s="363"/>
      <c r="S38" s="428">
        <f>I38*'Grundlagen GRUD'!F61/T38</f>
        <v>0</v>
      </c>
      <c r="T38" s="581">
        <v>0.8</v>
      </c>
      <c r="W38" s="732">
        <f t="shared" si="5"/>
        <v>0</v>
      </c>
    </row>
    <row r="39" spans="1:257" s="25" customFormat="1" ht="14" x14ac:dyDescent="0.3">
      <c r="A39" s="744" t="s">
        <v>82</v>
      </c>
      <c r="B39" s="754"/>
      <c r="C39" s="332"/>
      <c r="D39" s="332"/>
      <c r="E39" s="39"/>
      <c r="F39" s="39"/>
      <c r="G39" s="715"/>
      <c r="H39" s="726" t="s">
        <v>60</v>
      </c>
      <c r="I39" s="405"/>
      <c r="J39" s="331"/>
      <c r="K39" s="12"/>
      <c r="L39" s="917"/>
      <c r="M39" s="918"/>
      <c r="N39" s="348">
        <v>0.11</v>
      </c>
      <c r="O39" s="630">
        <v>0.11</v>
      </c>
      <c r="P39" s="694">
        <f t="shared" si="3"/>
        <v>0</v>
      </c>
      <c r="Q39" s="431">
        <f t="shared" si="4"/>
        <v>0</v>
      </c>
      <c r="R39" s="363"/>
      <c r="S39" s="428">
        <f>I39*'Grundlagen GRUD'!F62/T39</f>
        <v>0</v>
      </c>
      <c r="T39" s="581">
        <v>0.8</v>
      </c>
      <c r="W39" s="732">
        <f t="shared" si="5"/>
        <v>0</v>
      </c>
    </row>
    <row r="40" spans="1:257" s="25" customFormat="1" ht="14" x14ac:dyDescent="0.3">
      <c r="A40" s="744" t="s">
        <v>83</v>
      </c>
      <c r="B40" s="754"/>
      <c r="C40" s="332"/>
      <c r="D40" s="332"/>
      <c r="E40" s="39"/>
      <c r="F40" s="39"/>
      <c r="G40" s="715"/>
      <c r="H40" s="726" t="s">
        <v>60</v>
      </c>
      <c r="I40" s="405"/>
      <c r="J40" s="331"/>
      <c r="K40" s="12"/>
      <c r="L40" s="917"/>
      <c r="M40" s="918"/>
      <c r="N40" s="348">
        <v>0.11</v>
      </c>
      <c r="O40" s="630">
        <v>0.11</v>
      </c>
      <c r="P40" s="694">
        <f t="shared" si="3"/>
        <v>0</v>
      </c>
      <c r="Q40" s="431">
        <f t="shared" si="4"/>
        <v>0</v>
      </c>
      <c r="R40" s="363"/>
      <c r="S40" s="428">
        <f>I40*'Grundlagen GRUD'!F63/T40</f>
        <v>0</v>
      </c>
      <c r="T40" s="581">
        <v>0.8</v>
      </c>
      <c r="W40" s="732">
        <f t="shared" si="5"/>
        <v>0</v>
      </c>
    </row>
    <row r="41" spans="1:257" s="25" customFormat="1" ht="14.5" thickBot="1" x14ac:dyDescent="0.35">
      <c r="A41" s="923" t="s">
        <v>84</v>
      </c>
      <c r="B41" s="887"/>
      <c r="C41" s="351"/>
      <c r="D41" s="351"/>
      <c r="E41" s="70"/>
      <c r="F41" s="70"/>
      <c r="G41" s="718"/>
      <c r="H41" s="727" t="s">
        <v>60</v>
      </c>
      <c r="I41" s="405"/>
      <c r="J41" s="331"/>
      <c r="K41" s="12"/>
      <c r="L41" s="919"/>
      <c r="M41" s="920"/>
      <c r="N41" s="364">
        <v>7.0000000000000007E-2</v>
      </c>
      <c r="O41" s="629">
        <v>7.0000000000000007E-2</v>
      </c>
      <c r="P41" s="695">
        <f t="shared" si="3"/>
        <v>0</v>
      </c>
      <c r="Q41" s="431">
        <f t="shared" si="4"/>
        <v>0</v>
      </c>
      <c r="R41" s="363"/>
      <c r="S41" s="428">
        <f>I41*'Grundlagen GRUD'!F64/T41</f>
        <v>0</v>
      </c>
      <c r="T41" s="581">
        <v>0.8</v>
      </c>
      <c r="W41" s="732">
        <f t="shared" si="5"/>
        <v>0</v>
      </c>
    </row>
    <row r="42" spans="1:257" s="24" customFormat="1" ht="15.75" customHeight="1" thickBot="1" x14ac:dyDescent="0.35">
      <c r="A42" s="906" t="s">
        <v>282</v>
      </c>
      <c r="B42" s="907"/>
      <c r="C42" s="907"/>
      <c r="D42" s="908"/>
      <c r="E42" s="908"/>
      <c r="F42" s="908"/>
      <c r="G42" s="908"/>
      <c r="H42" s="908"/>
      <c r="I42" s="908"/>
      <c r="J42" s="311"/>
      <c r="K42" s="311"/>
      <c r="L42" s="311"/>
      <c r="M42" s="311"/>
      <c r="N42" s="393"/>
      <c r="O42" s="603"/>
      <c r="P42" s="626">
        <f>SUM(P34:P41)</f>
        <v>0</v>
      </c>
      <c r="Q42" s="433">
        <f>SUM(Q34:Q41)</f>
        <v>0</v>
      </c>
      <c r="R42" s="338">
        <f>SUM(R34:R41)</f>
        <v>0</v>
      </c>
      <c r="S42" s="430">
        <f>SUM(S34:S41)</f>
        <v>0</v>
      </c>
      <c r="T42" s="579"/>
      <c r="W42" s="733"/>
    </row>
  </sheetData>
  <sheetProtection algorithmName="SHA-512" hashValue="361nl4CmweJ3xpM3IIKy1K1GxMw1afg26WQ0+yR5fOpNnYxzptpl5f/mJwt6HNyBM4Crn6moKdSMpCJFch0QFA==" saltValue="/OwlwFRujT1bi8U21gwKQA==" spinCount="100000" sheet="1" selectLockedCells="1"/>
  <mergeCells count="45">
    <mergeCell ref="N1:S1"/>
    <mergeCell ref="A6:L6"/>
    <mergeCell ref="A8:B8"/>
    <mergeCell ref="N2:R2"/>
    <mergeCell ref="R5:S5"/>
    <mergeCell ref="A2:M2"/>
    <mergeCell ref="C3:D3"/>
    <mergeCell ref="I3:L3"/>
    <mergeCell ref="R3:S3"/>
    <mergeCell ref="F3:H3"/>
    <mergeCell ref="A11:B11"/>
    <mergeCell ref="A12:B12"/>
    <mergeCell ref="A13:B13"/>
    <mergeCell ref="R4:S4"/>
    <mergeCell ref="A9:C9"/>
    <mergeCell ref="A10:C10"/>
    <mergeCell ref="L8:M8"/>
    <mergeCell ref="L16:M16"/>
    <mergeCell ref="K28:M28"/>
    <mergeCell ref="L22:M22"/>
    <mergeCell ref="A23:B23"/>
    <mergeCell ref="A24:B24"/>
    <mergeCell ref="D23:E23"/>
    <mergeCell ref="A28:B28"/>
    <mergeCell ref="A25:B25"/>
    <mergeCell ref="A18:B18"/>
    <mergeCell ref="A19:B19"/>
    <mergeCell ref="A16:B16"/>
    <mergeCell ref="A22:B22"/>
    <mergeCell ref="A17:B17"/>
    <mergeCell ref="A42:I42"/>
    <mergeCell ref="L29:M30"/>
    <mergeCell ref="K33:M33"/>
    <mergeCell ref="L34:M41"/>
    <mergeCell ref="A39:B39"/>
    <mergeCell ref="A40:B40"/>
    <mergeCell ref="A34:B34"/>
    <mergeCell ref="A33:F33"/>
    <mergeCell ref="A37:B37"/>
    <mergeCell ref="A41:B41"/>
    <mergeCell ref="A29:E29"/>
    <mergeCell ref="A30:E30"/>
    <mergeCell ref="A35:B35"/>
    <mergeCell ref="A36:B36"/>
    <mergeCell ref="A38:B38"/>
  </mergeCells>
  <phoneticPr fontId="0" type="noConversion"/>
  <conditionalFormatting sqref="G8 G16 G22 G28 G33">
    <cfRule type="containsText" dxfId="1" priority="2" operator="containsText" text="Bitte">
      <formula>NOT(ISERROR(SEARCH("Bitte",G8)))</formula>
    </cfRule>
  </conditionalFormatting>
  <conditionalFormatting sqref="G9:G13 G17:G19 G23:G25 G29:G30 G34:G41">
    <cfRule type="expression" dxfId="0" priority="1">
      <formula>IF(AND(Q9&gt;0,G9=0),1,0)</formula>
    </cfRule>
  </conditionalFormatting>
  <dataValidations count="2">
    <dataValidation type="whole" allowBlank="1" showInputMessage="1" showErrorMessage="1" errorTitle="Ungültiger Wert" error="Bitte geben Sie eine gültige Anzahl ein." sqref="I9:J13 I17:J19 I23:J25 I34:I41" xr:uid="{00000000-0002-0000-0200-000000000000}">
      <formula1>0</formula1>
      <formula2>9999</formula2>
    </dataValidation>
    <dataValidation type="decimal" allowBlank="1" showInputMessage="1" showErrorMessage="1" errorTitle="Ungültiger Wert" error="Bitte geben Sie eine gültige Anzahl ein." sqref="I29:J30" xr:uid="{00000000-0002-0000-0200-000001000000}">
      <formula1>0</formula1>
      <formula2>9999</formula2>
    </dataValidation>
  </dataValidations>
  <printOptions horizontalCentered="1"/>
  <pageMargins left="0.39370078740157483" right="0.39370078740157483" top="0.47244094488188981" bottom="0.61" header="0.31496062992125984" footer="0.31496062992125984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indexed="10"/>
  </sheetPr>
  <dimension ref="A1:X56"/>
  <sheetViews>
    <sheetView showGridLines="0" showZeros="0" topLeftCell="A27" zoomScale="80" zoomScaleNormal="80" workbookViewId="0">
      <selection activeCell="F39" sqref="F39:G39"/>
    </sheetView>
  </sheetViews>
  <sheetFormatPr baseColWidth="10" defaultColWidth="11.453125" defaultRowHeight="12.5" x14ac:dyDescent="0.25"/>
  <cols>
    <col min="1" max="1" width="1.54296875" style="8" customWidth="1"/>
    <col min="2" max="2" width="18.453125" style="8" customWidth="1"/>
    <col min="3" max="3" width="13" style="8" customWidth="1"/>
    <col min="4" max="4" width="9.453125" style="8" customWidth="1"/>
    <col min="5" max="5" width="10.81640625" style="8" customWidth="1"/>
    <col min="6" max="6" width="6.81640625" style="8" customWidth="1"/>
    <col min="7" max="9" width="6.453125" style="8" customWidth="1"/>
    <col min="10" max="10" width="8" style="8" customWidth="1"/>
    <col min="11" max="11" width="10.54296875" style="8" customWidth="1"/>
    <col min="12" max="12" width="6.453125" style="108" customWidth="1"/>
    <col min="13" max="13" width="8.54296875" style="8" customWidth="1"/>
    <col min="14" max="14" width="9.26953125" style="8" customWidth="1"/>
    <col min="15" max="15" width="9.7265625" style="8" customWidth="1"/>
    <col min="16" max="16" width="13.7265625" style="104" customWidth="1"/>
    <col min="17" max="19" width="11.453125" style="542" hidden="1" customWidth="1"/>
    <col min="20" max="20" width="13.1796875" style="542" hidden="1" customWidth="1"/>
    <col min="21" max="23" width="11.453125" style="542" hidden="1" customWidth="1"/>
    <col min="24" max="24" width="11.453125" style="104" customWidth="1"/>
    <col min="25" max="16384" width="11.453125" style="8"/>
  </cols>
  <sheetData>
    <row r="1" spans="1:24" ht="72" customHeight="1" thickBot="1" x14ac:dyDescent="0.45">
      <c r="A1" s="266"/>
      <c r="B1" s="213"/>
      <c r="C1" s="30"/>
      <c r="D1" s="30"/>
      <c r="E1" s="30"/>
      <c r="F1" s="30"/>
      <c r="G1" s="30"/>
      <c r="H1" s="30"/>
      <c r="I1" s="213"/>
      <c r="J1" s="214"/>
      <c r="K1" s="214"/>
      <c r="L1" s="215" t="str">
        <f>'Adresse + Ergebnis '!A3</f>
        <v xml:space="preserve">Grundlage: GRUD 2017 </v>
      </c>
      <c r="M1" s="30"/>
      <c r="N1" s="30"/>
      <c r="O1" s="30"/>
    </row>
    <row r="2" spans="1:24" ht="41.25" customHeight="1" x14ac:dyDescent="0.65">
      <c r="B2" s="216" t="s">
        <v>0</v>
      </c>
      <c r="C2" s="217"/>
      <c r="D2" s="217"/>
      <c r="E2" s="217"/>
      <c r="F2" s="217"/>
      <c r="G2" s="217"/>
      <c r="H2" s="217"/>
      <c r="I2" s="217"/>
      <c r="J2" s="217"/>
      <c r="K2" s="217"/>
      <c r="L2" s="884">
        <f>'Adresse + Ergebnis '!N2</f>
        <v>0</v>
      </c>
      <c r="M2" s="990"/>
      <c r="N2" s="218"/>
      <c r="O2" s="219" t="s">
        <v>218</v>
      </c>
    </row>
    <row r="3" spans="1:24" s="15" customFormat="1" ht="39" customHeight="1" x14ac:dyDescent="0.35">
      <c r="B3" s="25" t="s">
        <v>1</v>
      </c>
      <c r="C3" s="957">
        <f>'Adresse + Ergebnis '!B5</f>
        <v>0</v>
      </c>
      <c r="D3" s="957"/>
      <c r="F3" s="967" t="s">
        <v>273</v>
      </c>
      <c r="G3" s="968"/>
      <c r="H3" s="891" t="str">
        <f>CONCATENATE('Adresse + Ergebnis '!B7,IF('Adresse + Ergebnis '!B8&gt;0," / "," "),'Adresse + Ergebnis '!B8)</f>
        <v xml:space="preserve"> </v>
      </c>
      <c r="I3" s="891"/>
      <c r="J3" s="891"/>
      <c r="K3" s="891"/>
      <c r="L3" s="226" t="s">
        <v>2</v>
      </c>
      <c r="N3" s="890">
        <f>'Diverse Tiere'!R3</f>
        <v>0</v>
      </c>
      <c r="O3" s="890"/>
      <c r="P3" s="221"/>
      <c r="Q3" s="543"/>
      <c r="R3" s="543"/>
      <c r="S3" s="543"/>
      <c r="T3" s="543"/>
      <c r="U3" s="543"/>
      <c r="V3" s="543"/>
      <c r="W3" s="543"/>
      <c r="X3" s="221"/>
    </row>
    <row r="4" spans="1:24" s="23" customFormat="1" ht="20.25" customHeight="1" x14ac:dyDescent="0.35">
      <c r="B4" s="15"/>
      <c r="D4" s="22"/>
      <c r="H4" s="222"/>
      <c r="I4" s="223"/>
      <c r="J4" s="12"/>
      <c r="L4" s="224" t="s">
        <v>34</v>
      </c>
      <c r="N4" s="890">
        <f>'Adresse + Ergebnis '!B11</f>
        <v>0</v>
      </c>
      <c r="O4" s="890"/>
      <c r="P4" s="225"/>
      <c r="Q4" s="544"/>
      <c r="R4" s="544"/>
      <c r="S4" s="544"/>
      <c r="T4" s="544"/>
      <c r="U4" s="544"/>
      <c r="V4" s="544"/>
      <c r="W4" s="544"/>
      <c r="X4" s="225"/>
    </row>
    <row r="5" spans="1:24" s="23" customFormat="1" ht="20.25" customHeight="1" x14ac:dyDescent="0.35">
      <c r="B5" s="15"/>
      <c r="D5" s="22"/>
      <c r="H5" s="222"/>
      <c r="I5" s="223"/>
      <c r="J5" s="12"/>
      <c r="L5" s="226" t="s">
        <v>4</v>
      </c>
      <c r="N5" s="991">
        <f>'Adresse + Ergebnis '!F11</f>
        <v>0</v>
      </c>
      <c r="O5" s="991"/>
      <c r="P5" s="225"/>
      <c r="Q5" s="544"/>
      <c r="R5" s="544"/>
      <c r="S5" s="544"/>
      <c r="T5" s="544"/>
      <c r="U5" s="544"/>
      <c r="V5" s="544"/>
      <c r="W5" s="544"/>
      <c r="X5" s="225"/>
    </row>
    <row r="6" spans="1:24" s="15" customFormat="1" ht="25.5" customHeight="1" x14ac:dyDescent="0.65">
      <c r="B6" s="227" t="s">
        <v>117</v>
      </c>
      <c r="C6" s="267"/>
      <c r="D6" s="267"/>
      <c r="E6" s="267"/>
      <c r="F6" s="267"/>
      <c r="G6" s="267"/>
      <c r="H6" s="267"/>
      <c r="I6" s="267"/>
      <c r="J6" s="22"/>
      <c r="K6" s="23"/>
      <c r="M6" s="12"/>
      <c r="N6" s="994"/>
      <c r="O6" s="994"/>
      <c r="P6" s="221"/>
      <c r="Q6" s="543"/>
      <c r="R6" s="543"/>
      <c r="S6" s="543"/>
      <c r="T6" s="543"/>
      <c r="U6" s="543"/>
      <c r="V6" s="543"/>
      <c r="W6" s="543"/>
      <c r="X6" s="221"/>
    </row>
    <row r="7" spans="1:24" ht="2.25" customHeight="1" thickBot="1" x14ac:dyDescent="0.3"/>
    <row r="8" spans="1:24" ht="37.5" customHeight="1" thickBot="1" x14ac:dyDescent="0.55000000000000004">
      <c r="B8" s="268" t="s">
        <v>12</v>
      </c>
      <c r="C8" s="269"/>
      <c r="D8" s="182"/>
      <c r="E8" s="182"/>
      <c r="F8" s="101"/>
      <c r="G8" s="101"/>
      <c r="H8" s="182"/>
      <c r="I8" s="182"/>
      <c r="J8" s="182"/>
      <c r="K8" s="182"/>
      <c r="L8" s="270"/>
      <c r="M8" s="232"/>
      <c r="N8" s="992" t="s">
        <v>231</v>
      </c>
      <c r="O8" s="992"/>
    </row>
    <row r="9" spans="1:24" s="25" customFormat="1" ht="14" x14ac:dyDescent="0.3">
      <c r="B9" s="271" t="s">
        <v>5</v>
      </c>
      <c r="C9" s="90" t="s">
        <v>223</v>
      </c>
      <c r="D9" s="90"/>
      <c r="E9" s="90"/>
      <c r="F9" s="37"/>
      <c r="G9" s="37"/>
      <c r="H9" s="90"/>
      <c r="I9" s="90"/>
      <c r="J9" s="272"/>
      <c r="K9" s="980" t="s">
        <v>97</v>
      </c>
      <c r="L9" s="981"/>
      <c r="M9" s="436">
        <f>'Rindvieh, Schweine, Geflügel'!Q28</f>
        <v>0</v>
      </c>
      <c r="N9" s="985">
        <f>'Grundlagen GRUD'!C81*M9</f>
        <v>0</v>
      </c>
      <c r="O9" s="986"/>
      <c r="P9" s="83"/>
      <c r="Q9" s="545"/>
      <c r="R9" s="545"/>
      <c r="S9" s="545"/>
      <c r="T9" s="545"/>
      <c r="U9" s="545"/>
      <c r="V9" s="545"/>
      <c r="W9" s="545"/>
      <c r="X9" s="83"/>
    </row>
    <row r="10" spans="1:24" s="25" customFormat="1" ht="14" x14ac:dyDescent="0.3">
      <c r="B10" s="271" t="s">
        <v>8</v>
      </c>
      <c r="C10" s="90" t="s">
        <v>223</v>
      </c>
      <c r="D10" s="90"/>
      <c r="E10" s="246"/>
      <c r="F10" s="39"/>
      <c r="G10" s="39"/>
      <c r="H10" s="90"/>
      <c r="I10" s="90"/>
      <c r="J10" s="90"/>
      <c r="K10" s="980" t="s">
        <v>98</v>
      </c>
      <c r="L10" s="981"/>
      <c r="M10" s="436">
        <f>'Rindvieh, Schweine, Geflügel'!Q38</f>
        <v>0</v>
      </c>
      <c r="N10" s="978">
        <f>'Grundlagen GRUD'!C84*M10</f>
        <v>0</v>
      </c>
      <c r="O10" s="979"/>
      <c r="P10" s="83"/>
      <c r="Q10" s="545"/>
      <c r="R10" s="545"/>
      <c r="S10" s="545"/>
      <c r="T10" s="545"/>
      <c r="U10" s="545"/>
      <c r="V10" s="545"/>
      <c r="W10" s="545"/>
      <c r="X10" s="83"/>
    </row>
    <row r="11" spans="1:24" s="25" customFormat="1" ht="14" x14ac:dyDescent="0.3">
      <c r="B11" s="271" t="s">
        <v>10</v>
      </c>
      <c r="C11" s="90" t="s">
        <v>225</v>
      </c>
      <c r="D11" s="90"/>
      <c r="E11" s="2"/>
      <c r="F11" s="90"/>
      <c r="G11" s="90"/>
      <c r="H11" s="90"/>
      <c r="I11" s="90"/>
      <c r="J11" s="90"/>
      <c r="K11" s="980" t="s">
        <v>99</v>
      </c>
      <c r="L11" s="981"/>
      <c r="M11" s="436">
        <f>'Rindvieh, Schweine, Geflügel'!Q42+'Rindvieh, Schweine, Geflügel'!Q43</f>
        <v>0</v>
      </c>
      <c r="N11" s="978">
        <f>'Grundlagen GRUD'!C87*M11</f>
        <v>0</v>
      </c>
      <c r="O11" s="984"/>
      <c r="P11" s="83"/>
      <c r="Q11" s="545"/>
      <c r="R11" s="545"/>
      <c r="S11" s="545"/>
      <c r="T11" s="545"/>
      <c r="U11" s="545"/>
      <c r="V11" s="545"/>
      <c r="W11" s="545"/>
      <c r="X11" s="83"/>
    </row>
    <row r="12" spans="1:24" s="25" customFormat="1" ht="14" x14ac:dyDescent="0.3">
      <c r="B12" s="271"/>
      <c r="C12" s="90" t="s">
        <v>226</v>
      </c>
      <c r="D12" s="90"/>
      <c r="E12" s="2"/>
      <c r="F12" s="90"/>
      <c r="G12" s="90"/>
      <c r="H12" s="90"/>
      <c r="I12" s="90"/>
      <c r="J12" s="980" t="s">
        <v>224</v>
      </c>
      <c r="K12" s="993"/>
      <c r="L12" s="983"/>
      <c r="M12" s="436">
        <f>'Rindvieh, Schweine, Geflügel'!Q44/0.4+'Rindvieh, Schweine, Geflügel'!Q45/0.4</f>
        <v>0</v>
      </c>
      <c r="N12" s="978">
        <f>'Grundlagen GRUD'!C88*M12</f>
        <v>0</v>
      </c>
      <c r="O12" s="979"/>
      <c r="P12" s="83"/>
      <c r="Q12" s="545"/>
      <c r="R12" s="545"/>
      <c r="S12" s="545"/>
      <c r="T12" s="545"/>
      <c r="U12" s="545"/>
      <c r="V12" s="545"/>
      <c r="W12" s="545"/>
      <c r="X12" s="83"/>
    </row>
    <row r="13" spans="1:24" s="25" customFormat="1" ht="14" x14ac:dyDescent="0.3">
      <c r="B13" s="271" t="s">
        <v>6</v>
      </c>
      <c r="C13" s="90" t="s">
        <v>238</v>
      </c>
      <c r="D13" s="413"/>
      <c r="E13" s="277"/>
      <c r="F13" s="278"/>
      <c r="G13" s="278"/>
      <c r="H13" s="276"/>
      <c r="I13" s="276"/>
      <c r="J13" s="279"/>
      <c r="K13" s="980" t="s">
        <v>97</v>
      </c>
      <c r="L13" s="981"/>
      <c r="M13" s="436">
        <f>'Diverse Tiere'!Q14</f>
        <v>0</v>
      </c>
      <c r="N13" s="978">
        <f>IF(S13=FALSE, M13*'Grundlagen GRUD'!C91,"")</f>
        <v>0</v>
      </c>
      <c r="O13" s="984"/>
      <c r="P13" s="83"/>
      <c r="Q13" s="545"/>
      <c r="R13" s="545"/>
      <c r="S13" s="545" t="b">
        <v>0</v>
      </c>
      <c r="T13" s="545"/>
      <c r="U13" s="545"/>
      <c r="V13" s="545"/>
      <c r="W13" s="545"/>
      <c r="X13" s="83"/>
    </row>
    <row r="14" spans="1:24" s="25" customFormat="1" ht="14" x14ac:dyDescent="0.3">
      <c r="B14" s="38" t="s">
        <v>228</v>
      </c>
      <c r="C14" s="90" t="s">
        <v>223</v>
      </c>
      <c r="D14" s="90"/>
      <c r="E14" s="2"/>
      <c r="F14" s="39"/>
      <c r="G14" s="39"/>
      <c r="H14" s="90"/>
      <c r="I14" s="90"/>
      <c r="J14" s="90"/>
      <c r="K14" s="980" t="s">
        <v>97</v>
      </c>
      <c r="L14" s="981"/>
      <c r="M14" s="436">
        <f>'Diverse Tiere'!Q17</f>
        <v>0</v>
      </c>
      <c r="N14" s="978">
        <f>M14*'Grundlagen GRUD'!C94</f>
        <v>0</v>
      </c>
      <c r="O14" s="979"/>
      <c r="P14" s="83"/>
      <c r="Q14" s="545"/>
      <c r="R14" s="545"/>
      <c r="S14" s="545"/>
      <c r="T14" s="545"/>
      <c r="U14" s="545"/>
      <c r="V14" s="545"/>
      <c r="W14" s="545"/>
      <c r="X14" s="83"/>
    </row>
    <row r="15" spans="1:24" s="25" customFormat="1" ht="14" x14ac:dyDescent="0.3">
      <c r="B15" s="38" t="s">
        <v>229</v>
      </c>
      <c r="C15" s="90" t="s">
        <v>223</v>
      </c>
      <c r="D15" s="90"/>
      <c r="E15" s="2"/>
      <c r="F15" s="39"/>
      <c r="G15" s="39"/>
      <c r="H15" s="90"/>
      <c r="I15" s="90"/>
      <c r="J15" s="90"/>
      <c r="K15" s="980" t="s">
        <v>97</v>
      </c>
      <c r="L15" s="981"/>
      <c r="M15" s="436">
        <f>'Diverse Tiere'!Q23</f>
        <v>0</v>
      </c>
      <c r="N15" s="978">
        <f>M15*'Grundlagen GRUD'!C94</f>
        <v>0</v>
      </c>
      <c r="O15" s="979"/>
      <c r="P15" s="83"/>
      <c r="Q15" s="545"/>
      <c r="R15" s="545"/>
      <c r="S15" s="545"/>
      <c r="T15" s="545"/>
      <c r="U15" s="545"/>
      <c r="V15" s="545"/>
      <c r="W15" s="545"/>
      <c r="X15" s="83"/>
    </row>
    <row r="16" spans="1:24" s="25" customFormat="1" ht="14" x14ac:dyDescent="0.3">
      <c r="B16" s="271" t="s">
        <v>26</v>
      </c>
      <c r="C16" s="90" t="s">
        <v>227</v>
      </c>
      <c r="D16" s="90"/>
      <c r="E16" s="2"/>
      <c r="F16" s="39"/>
      <c r="G16" s="39"/>
      <c r="H16" s="90"/>
      <c r="I16" s="90"/>
      <c r="J16" s="90"/>
      <c r="K16" s="980" t="s">
        <v>97</v>
      </c>
      <c r="L16" s="983"/>
      <c r="M16" s="436">
        <f>'Diverse Tiere'!Q31</f>
        <v>0</v>
      </c>
      <c r="N16" s="978">
        <f>'Grundlagen GRUD'!C97*M16</f>
        <v>0</v>
      </c>
      <c r="O16" s="979"/>
      <c r="P16" s="83"/>
      <c r="Q16" s="545"/>
      <c r="R16" s="545"/>
      <c r="S16" s="545"/>
      <c r="T16" s="545"/>
      <c r="U16" s="545"/>
      <c r="V16" s="545"/>
      <c r="W16" s="545"/>
      <c r="X16" s="83"/>
    </row>
    <row r="17" spans="2:24" s="25" customFormat="1" ht="16.5" x14ac:dyDescent="0.3">
      <c r="B17" s="271" t="s">
        <v>187</v>
      </c>
      <c r="C17" s="90" t="s">
        <v>130</v>
      </c>
      <c r="D17" s="90"/>
      <c r="E17" s="90"/>
      <c r="H17" s="90"/>
      <c r="I17" s="90"/>
      <c r="J17" s="90"/>
      <c r="K17" s="279"/>
      <c r="L17" s="280" t="s">
        <v>124</v>
      </c>
      <c r="M17" s="273"/>
      <c r="N17" s="976"/>
      <c r="O17" s="977"/>
      <c r="P17" s="83"/>
      <c r="Q17" s="545"/>
      <c r="R17" s="545"/>
      <c r="S17" s="545"/>
      <c r="T17" s="545"/>
      <c r="U17" s="545"/>
      <c r="V17" s="545"/>
      <c r="W17" s="545"/>
      <c r="X17" s="83"/>
    </row>
    <row r="18" spans="2:24" s="25" customFormat="1" ht="15" customHeight="1" x14ac:dyDescent="0.3">
      <c r="B18" s="271" t="s">
        <v>13</v>
      </c>
      <c r="C18" s="281" t="s">
        <v>14</v>
      </c>
      <c r="D18" s="282"/>
      <c r="E18" s="867" t="s">
        <v>162</v>
      </c>
      <c r="F18" s="745"/>
      <c r="G18" s="745"/>
      <c r="H18" s="745"/>
      <c r="I18" s="745"/>
      <c r="J18" s="745"/>
      <c r="K18" s="745"/>
      <c r="L18" s="982"/>
      <c r="M18" s="414"/>
      <c r="N18" s="978" t="str">
        <f>IF(M18&gt;0.99,'Abwasser, Hofdüngerlager'!M18*'Grundlagen GRUD'!D104+'Grundlagen GRUD'!C104,"")</f>
        <v/>
      </c>
      <c r="O18" s="979"/>
      <c r="P18" s="83"/>
      <c r="Q18" s="545"/>
      <c r="R18" s="545"/>
      <c r="S18" s="545"/>
      <c r="T18" s="545"/>
      <c r="U18" s="545"/>
      <c r="V18" s="545"/>
      <c r="W18" s="545"/>
      <c r="X18" s="83"/>
    </row>
    <row r="19" spans="2:24" s="25" customFormat="1" ht="15" customHeight="1" x14ac:dyDescent="0.3">
      <c r="B19" s="271"/>
      <c r="C19" s="283" t="s">
        <v>15</v>
      </c>
      <c r="D19" s="282"/>
      <c r="E19" s="867" t="s">
        <v>179</v>
      </c>
      <c r="F19" s="867"/>
      <c r="G19" s="867"/>
      <c r="H19" s="867"/>
      <c r="I19" s="867"/>
      <c r="J19" s="867"/>
      <c r="K19" s="867"/>
      <c r="L19" s="971"/>
      <c r="M19" s="414"/>
      <c r="N19" s="978">
        <f>M19*'Grundlagen GRUD'!C105</f>
        <v>0</v>
      </c>
      <c r="O19" s="979"/>
      <c r="P19" s="83"/>
      <c r="Q19" s="545"/>
      <c r="R19" s="545"/>
      <c r="S19" s="545"/>
      <c r="T19" s="545"/>
      <c r="U19" s="545"/>
      <c r="V19" s="545"/>
      <c r="W19" s="545"/>
      <c r="X19" s="83"/>
    </row>
    <row r="20" spans="2:24" s="25" customFormat="1" ht="15" customHeight="1" x14ac:dyDescent="0.3">
      <c r="B20" s="271"/>
      <c r="C20" s="90" t="s">
        <v>154</v>
      </c>
      <c r="D20" s="90"/>
      <c r="E20" s="250"/>
      <c r="F20" s="250"/>
      <c r="G20" s="250"/>
      <c r="H20" s="250"/>
      <c r="I20" s="250"/>
      <c r="J20" s="250"/>
      <c r="K20" s="250"/>
      <c r="L20" s="284" t="s">
        <v>162</v>
      </c>
      <c r="M20" s="414"/>
      <c r="N20" s="978" t="str">
        <f>IF(M20&gt;0.99,M20*'Grundlagen GRUD'!D106+'Grundlagen GRUD'!C106,"")</f>
        <v/>
      </c>
      <c r="O20" s="979"/>
      <c r="P20" s="83"/>
      <c r="Q20" s="545"/>
      <c r="R20" s="545"/>
      <c r="S20" s="545"/>
      <c r="T20" s="545"/>
      <c r="U20" s="545"/>
      <c r="V20" s="545"/>
      <c r="W20" s="545"/>
      <c r="X20" s="83"/>
    </row>
    <row r="21" spans="2:24" s="25" customFormat="1" ht="14" x14ac:dyDescent="0.3">
      <c r="B21" s="271"/>
      <c r="C21" s="90" t="s">
        <v>114</v>
      </c>
      <c r="D21" s="90"/>
      <c r="E21" s="867" t="s">
        <v>162</v>
      </c>
      <c r="F21" s="867"/>
      <c r="G21" s="867"/>
      <c r="H21" s="867"/>
      <c r="I21" s="867"/>
      <c r="J21" s="867"/>
      <c r="K21" s="867"/>
      <c r="L21" s="971"/>
      <c r="M21" s="414"/>
      <c r="N21" s="978" t="str">
        <f>IF(M21&gt;0.99,M21*'Grundlagen GRUD'!D107+'Grundlagen GRUD'!C107,"")</f>
        <v/>
      </c>
      <c r="O21" s="979"/>
      <c r="P21" s="83"/>
      <c r="Q21" s="545"/>
      <c r="R21" s="545"/>
      <c r="S21" s="545"/>
      <c r="T21" s="545"/>
      <c r="U21" s="545"/>
      <c r="V21" s="545"/>
      <c r="W21" s="545"/>
      <c r="X21" s="83"/>
    </row>
    <row r="22" spans="2:24" s="25" customFormat="1" ht="14" x14ac:dyDescent="0.3">
      <c r="B22" s="271"/>
      <c r="C22" s="283" t="s">
        <v>16</v>
      </c>
      <c r="D22" s="90"/>
      <c r="E22" s="867" t="s">
        <v>195</v>
      </c>
      <c r="F22" s="867"/>
      <c r="G22" s="867"/>
      <c r="H22" s="867"/>
      <c r="I22" s="867"/>
      <c r="J22" s="867"/>
      <c r="K22" s="867"/>
      <c r="L22" s="971"/>
      <c r="M22" s="414"/>
      <c r="N22" s="978">
        <f>M22*'Grundlagen GRUD'!C108</f>
        <v>0</v>
      </c>
      <c r="O22" s="979"/>
      <c r="P22" s="83"/>
      <c r="Q22" s="545"/>
      <c r="R22" s="545"/>
      <c r="S22" s="545"/>
      <c r="T22" s="545"/>
      <c r="U22" s="545"/>
      <c r="V22" s="545"/>
      <c r="W22" s="545"/>
      <c r="X22" s="83"/>
    </row>
    <row r="23" spans="2:24" s="25" customFormat="1" ht="14" x14ac:dyDescent="0.3">
      <c r="B23" s="271"/>
      <c r="C23" s="90" t="s">
        <v>125</v>
      </c>
      <c r="D23" s="90"/>
      <c r="E23" s="257"/>
      <c r="F23" s="257"/>
      <c r="G23" s="257"/>
      <c r="H23" s="257"/>
      <c r="I23" s="250"/>
      <c r="J23" s="250"/>
      <c r="K23" s="257"/>
      <c r="L23" s="285" t="s">
        <v>163</v>
      </c>
      <c r="M23" s="414"/>
      <c r="N23" s="978">
        <f>M23*'Grundlagen GRUD'!C109</f>
        <v>0</v>
      </c>
      <c r="O23" s="979"/>
      <c r="P23" s="83"/>
      <c r="Q23" s="545"/>
      <c r="R23" s="545"/>
      <c r="S23" s="545"/>
      <c r="T23" s="545"/>
      <c r="U23" s="545"/>
      <c r="V23" s="545"/>
      <c r="W23" s="545"/>
      <c r="X23" s="83"/>
    </row>
    <row r="24" spans="2:24" s="25" customFormat="1" ht="16.5" x14ac:dyDescent="0.3">
      <c r="B24" s="271"/>
      <c r="C24" s="754" t="s">
        <v>291</v>
      </c>
      <c r="D24" s="975"/>
      <c r="E24" s="975"/>
      <c r="F24" s="975"/>
      <c r="G24" s="975"/>
      <c r="H24" s="975"/>
      <c r="I24" s="975"/>
      <c r="J24" s="250"/>
      <c r="K24" s="257"/>
      <c r="L24" s="280" t="s">
        <v>124</v>
      </c>
      <c r="M24" s="513"/>
      <c r="N24" s="976"/>
      <c r="O24" s="977"/>
      <c r="P24" s="83"/>
      <c r="Q24" s="545"/>
      <c r="R24" s="545"/>
      <c r="S24" s="545"/>
      <c r="T24" s="545"/>
      <c r="U24" s="545"/>
      <c r="V24" s="545"/>
      <c r="W24" s="545"/>
      <c r="X24" s="83"/>
    </row>
    <row r="25" spans="2:24" s="25" customFormat="1" ht="14" x14ac:dyDescent="0.3">
      <c r="B25" s="271"/>
      <c r="C25" s="286"/>
      <c r="D25" s="90"/>
      <c r="E25" s="257"/>
      <c r="F25" s="257"/>
      <c r="G25" s="257"/>
      <c r="H25" s="257"/>
      <c r="I25" s="250"/>
      <c r="J25" s="250"/>
      <c r="K25" s="257"/>
      <c r="L25" s="287"/>
      <c r="M25" s="256"/>
      <c r="N25" s="939"/>
      <c r="O25" s="940"/>
      <c r="P25" s="83"/>
      <c r="Q25" s="545"/>
      <c r="R25" s="545"/>
      <c r="S25" s="546"/>
      <c r="T25" s="546"/>
      <c r="U25" s="546"/>
      <c r="V25" s="545"/>
      <c r="W25" s="545"/>
      <c r="X25" s="83"/>
    </row>
    <row r="26" spans="2:24" s="25" customFormat="1" ht="14" x14ac:dyDescent="0.3">
      <c r="B26" s="89" t="s">
        <v>155</v>
      </c>
      <c r="C26" s="286"/>
      <c r="D26" s="90"/>
      <c r="E26" s="257"/>
      <c r="F26" s="257"/>
      <c r="G26" s="257"/>
      <c r="H26" s="257"/>
      <c r="I26" s="250"/>
      <c r="J26" s="250"/>
      <c r="K26" s="257"/>
      <c r="L26" s="287"/>
      <c r="M26" s="256"/>
      <c r="N26" s="939"/>
      <c r="O26" s="940"/>
      <c r="P26" s="83"/>
      <c r="Q26" s="545"/>
      <c r="R26" s="545"/>
      <c r="S26" s="545"/>
      <c r="T26" s="545"/>
      <c r="U26" s="545"/>
      <c r="V26" s="545"/>
      <c r="W26" s="545"/>
      <c r="X26" s="83"/>
    </row>
    <row r="27" spans="2:24" s="25" customFormat="1" ht="14" x14ac:dyDescent="0.3">
      <c r="B27" s="233" t="s">
        <v>240</v>
      </c>
      <c r="C27" s="40"/>
      <c r="D27" s="539"/>
      <c r="E27" s="539"/>
      <c r="F27" s="539"/>
      <c r="G27" s="539"/>
      <c r="H27" s="539"/>
      <c r="I27" s="540"/>
      <c r="J27" s="540"/>
      <c r="K27" s="246"/>
      <c r="L27" s="288"/>
      <c r="M27" s="256"/>
      <c r="N27" s="274"/>
      <c r="O27" s="275"/>
      <c r="P27" s="83"/>
      <c r="Q27" s="545"/>
      <c r="R27" s="545"/>
      <c r="S27" s="545" t="b">
        <v>1</v>
      </c>
      <c r="T27" s="545" t="b">
        <v>0</v>
      </c>
      <c r="U27" s="545"/>
      <c r="V27" s="545"/>
      <c r="W27" s="545"/>
      <c r="X27" s="83"/>
    </row>
    <row r="28" spans="2:24" s="25" customFormat="1" ht="16.5" x14ac:dyDescent="0.3">
      <c r="B28" s="271" t="s">
        <v>156</v>
      </c>
      <c r="C28" s="90"/>
      <c r="D28" s="90"/>
      <c r="E28" s="2"/>
      <c r="F28" s="90"/>
      <c r="G28" s="90"/>
      <c r="H28" s="90"/>
      <c r="I28" s="39"/>
      <c r="J28" s="39"/>
      <c r="K28" s="944" t="s">
        <v>164</v>
      </c>
      <c r="L28" s="945"/>
      <c r="M28" s="414"/>
      <c r="N28" s="939">
        <f>IF(T27=TRUE,'Grundlagen GRUD'!C$100*M28,'Grundlagen GRUD'!D$100*M28)</f>
        <v>0</v>
      </c>
      <c r="O28" s="940"/>
      <c r="P28" s="83"/>
      <c r="Q28" s="545"/>
      <c r="R28" s="545"/>
      <c r="S28" s="545"/>
      <c r="T28" s="545"/>
      <c r="U28" s="545"/>
      <c r="V28" s="545"/>
      <c r="W28" s="545"/>
      <c r="X28" s="83"/>
    </row>
    <row r="29" spans="2:24" s="25" customFormat="1" ht="16.5" x14ac:dyDescent="0.3">
      <c r="B29" s="271" t="s">
        <v>157</v>
      </c>
      <c r="C29" s="90"/>
      <c r="D29" s="90"/>
      <c r="E29" s="2"/>
      <c r="F29" s="90"/>
      <c r="G29" s="90"/>
      <c r="H29" s="90"/>
      <c r="I29" s="39"/>
      <c r="J29" s="39"/>
      <c r="K29" s="944" t="s">
        <v>127</v>
      </c>
      <c r="L29" s="945"/>
      <c r="M29" s="414"/>
      <c r="N29" s="939">
        <f>IF(T27=TRUE,'Grundlagen GRUD'!C$100*M29,'Grundlagen GRUD'!D$100*M29)</f>
        <v>0</v>
      </c>
      <c r="O29" s="940"/>
      <c r="P29" s="83"/>
      <c r="Q29" s="545"/>
      <c r="R29" s="545"/>
      <c r="S29" s="545"/>
      <c r="T29" s="545"/>
      <c r="U29" s="545"/>
      <c r="V29" s="545"/>
      <c r="W29" s="545"/>
      <c r="X29" s="83"/>
    </row>
    <row r="30" spans="2:24" s="25" customFormat="1" ht="16.5" x14ac:dyDescent="0.3">
      <c r="B30" s="271" t="s">
        <v>158</v>
      </c>
      <c r="C30" s="90"/>
      <c r="D30" s="90"/>
      <c r="E30" s="90"/>
      <c r="F30" s="90"/>
      <c r="G30" s="90"/>
      <c r="H30" s="90"/>
      <c r="I30" s="39"/>
      <c r="J30" s="39"/>
      <c r="K30" s="944" t="s">
        <v>127</v>
      </c>
      <c r="L30" s="945"/>
      <c r="M30" s="414"/>
      <c r="N30" s="939">
        <f>IF(T27=TRUE,'Grundlagen GRUD'!C$100*M30,'Grundlagen GRUD'!D$100*M30)</f>
        <v>0</v>
      </c>
      <c r="O30" s="940"/>
      <c r="P30" s="83"/>
      <c r="Q30" s="545"/>
      <c r="R30" s="545"/>
      <c r="S30" s="545"/>
      <c r="T30" s="545"/>
      <c r="U30" s="545"/>
      <c r="V30" s="545"/>
      <c r="W30" s="545"/>
      <c r="X30" s="83"/>
    </row>
    <row r="31" spans="2:24" s="25" customFormat="1" ht="16.5" x14ac:dyDescent="0.3">
      <c r="B31" s="271" t="s">
        <v>159</v>
      </c>
      <c r="C31" s="90"/>
      <c r="D31" s="90"/>
      <c r="E31" s="90"/>
      <c r="F31" s="90"/>
      <c r="G31" s="90"/>
      <c r="H31" s="90"/>
      <c r="I31" s="39"/>
      <c r="J31" s="39"/>
      <c r="K31" s="944" t="s">
        <v>127</v>
      </c>
      <c r="L31" s="945"/>
      <c r="M31" s="414"/>
      <c r="N31" s="939">
        <f>IF(T27=TRUE,'Grundlagen GRUD'!C$101*M31,'Grundlagen GRUD'!D$101*M31)</f>
        <v>0</v>
      </c>
      <c r="O31" s="940"/>
      <c r="P31" s="83"/>
      <c r="Q31" s="545"/>
      <c r="R31" s="545"/>
      <c r="S31" s="545"/>
      <c r="T31" s="545"/>
      <c r="U31" s="545"/>
      <c r="V31" s="545"/>
      <c r="W31" s="545"/>
      <c r="X31" s="83"/>
    </row>
    <row r="32" spans="2:24" s="25" customFormat="1" ht="16.5" x14ac:dyDescent="0.3">
      <c r="B32" s="252" t="s">
        <v>241</v>
      </c>
      <c r="I32" s="39"/>
      <c r="J32" s="39"/>
      <c r="K32" s="944" t="s">
        <v>127</v>
      </c>
      <c r="L32" s="945"/>
      <c r="M32" s="415"/>
      <c r="N32" s="939">
        <f>IF(T27=TRUE,'Grundlagen GRUD'!C$100*M32,'Grundlagen GRUD'!D$100*M32)</f>
        <v>0</v>
      </c>
      <c r="O32" s="940"/>
      <c r="P32" s="83"/>
      <c r="Q32" s="545"/>
      <c r="R32" s="545"/>
      <c r="S32" s="545"/>
      <c r="T32" s="545"/>
      <c r="U32" s="545"/>
      <c r="V32" s="545"/>
      <c r="W32" s="545"/>
      <c r="X32" s="83"/>
    </row>
    <row r="33" spans="2:24" ht="19.5" customHeight="1" x14ac:dyDescent="0.3">
      <c r="B33" s="38" t="s">
        <v>160</v>
      </c>
      <c r="C33" s="39"/>
      <c r="D33" s="39"/>
      <c r="E33" s="39"/>
      <c r="F33" s="39"/>
      <c r="G33" s="39"/>
      <c r="H33" s="39"/>
      <c r="I33" s="39"/>
      <c r="J33" s="39"/>
      <c r="K33" s="944" t="s">
        <v>127</v>
      </c>
      <c r="L33" s="945"/>
      <c r="M33" s="416"/>
      <c r="N33" s="939">
        <f>IF(T27=TRUE,'Grundlagen GRUD'!C$100*M33,'Grundlagen GRUD'!D$100*M33)</f>
        <v>0</v>
      </c>
      <c r="O33" s="940"/>
      <c r="Q33" s="542" t="s">
        <v>37</v>
      </c>
    </row>
    <row r="34" spans="2:24" ht="21.75" customHeight="1" x14ac:dyDescent="0.3">
      <c r="B34" s="503" t="s">
        <v>215</v>
      </c>
      <c r="C34" s="70"/>
      <c r="D34" s="70"/>
      <c r="E34" s="70"/>
      <c r="F34" s="70"/>
      <c r="G34" s="887"/>
      <c r="H34" s="888"/>
      <c r="I34" s="888"/>
      <c r="J34" s="888"/>
      <c r="K34" s="70"/>
      <c r="L34" s="514"/>
      <c r="M34" s="516"/>
      <c r="N34" s="946"/>
      <c r="O34" s="947"/>
      <c r="Q34" s="542">
        <v>1</v>
      </c>
      <c r="S34" s="542" t="b">
        <v>0</v>
      </c>
    </row>
    <row r="35" spans="2:24" ht="20.25" customHeight="1" thickBot="1" x14ac:dyDescent="0.35">
      <c r="B35" s="259" t="s">
        <v>292</v>
      </c>
      <c r="C35" s="950"/>
      <c r="D35" s="951"/>
      <c r="E35" s="951"/>
      <c r="F35" s="951"/>
      <c r="G35" s="951"/>
      <c r="H35" s="951"/>
      <c r="I35" s="951"/>
      <c r="J35" s="951"/>
      <c r="K35" s="951"/>
      <c r="L35" s="952"/>
      <c r="M35" s="515"/>
      <c r="N35" s="948"/>
      <c r="O35" s="949"/>
    </row>
    <row r="36" spans="2:24" s="25" customFormat="1" ht="26.25" customHeight="1" thickBot="1" x14ac:dyDescent="0.55000000000000004">
      <c r="B36" s="289" t="s">
        <v>180</v>
      </c>
      <c r="C36" s="263"/>
      <c r="D36" s="263"/>
      <c r="E36" s="94"/>
      <c r="F36" s="94"/>
      <c r="G36" s="94"/>
      <c r="H36" s="94"/>
      <c r="I36" s="94"/>
      <c r="J36" s="94"/>
      <c r="K36" s="94"/>
      <c r="L36" s="290"/>
      <c r="M36" s="94"/>
      <c r="N36" s="955">
        <f>SUM(N9:N34)</f>
        <v>0</v>
      </c>
      <c r="O36" s="956"/>
      <c r="P36" s="83"/>
      <c r="Q36" s="545"/>
      <c r="R36" s="545"/>
      <c r="S36" s="545"/>
      <c r="T36" s="545"/>
      <c r="U36" s="545"/>
      <c r="V36" s="545"/>
      <c r="W36" s="545"/>
      <c r="X36" s="83"/>
    </row>
    <row r="37" spans="2:24" s="25" customFormat="1" ht="27" customHeight="1" thickBot="1" x14ac:dyDescent="0.35">
      <c r="B37" s="8"/>
      <c r="C37" s="8"/>
      <c r="D37" s="8"/>
      <c r="E37" s="8"/>
      <c r="F37" s="8"/>
      <c r="G37" s="8"/>
      <c r="H37" s="8"/>
      <c r="I37" s="8"/>
      <c r="J37" s="8"/>
      <c r="K37" s="12"/>
      <c r="L37" s="108"/>
      <c r="M37" s="291"/>
      <c r="N37" s="291"/>
      <c r="O37" s="291"/>
      <c r="P37" s="83"/>
      <c r="Q37" s="545"/>
      <c r="R37" s="545"/>
      <c r="S37" s="545"/>
      <c r="T37" s="545"/>
      <c r="U37" s="545"/>
      <c r="V37" s="545"/>
      <c r="W37" s="545"/>
      <c r="X37" s="83"/>
    </row>
    <row r="38" spans="2:24" s="25" customFormat="1" ht="75.75" customHeight="1" thickBot="1" x14ac:dyDescent="0.55000000000000004">
      <c r="B38" s="268" t="s">
        <v>236</v>
      </c>
      <c r="C38" s="182"/>
      <c r="D38" s="182"/>
      <c r="E38" s="101"/>
      <c r="F38" s="1001" t="s">
        <v>211</v>
      </c>
      <c r="G38" s="1002"/>
      <c r="H38" s="1001" t="s">
        <v>212</v>
      </c>
      <c r="I38" s="1002"/>
      <c r="J38" s="1001" t="s">
        <v>213</v>
      </c>
      <c r="K38" s="1002"/>
      <c r="L38" s="1003"/>
      <c r="M38" s="1004"/>
      <c r="N38" s="1028" t="s">
        <v>232</v>
      </c>
      <c r="O38" s="1029"/>
      <c r="P38" s="83"/>
      <c r="Q38" s="545"/>
      <c r="R38" s="545"/>
      <c r="S38" s="545" t="b">
        <v>0</v>
      </c>
      <c r="T38" s="545" t="b">
        <v>0</v>
      </c>
      <c r="U38" s="545" t="b">
        <f>IF(AND(S38=TRUE,T38=TRUE),TRUE,FALSE)</f>
        <v>0</v>
      </c>
      <c r="V38" s="545"/>
      <c r="W38" s="545"/>
      <c r="X38" s="83"/>
    </row>
    <row r="39" spans="2:24" s="25" customFormat="1" ht="17.25" customHeight="1" x14ac:dyDescent="0.4">
      <c r="B39" s="943" t="s">
        <v>208</v>
      </c>
      <c r="C39" s="886"/>
      <c r="D39" s="886"/>
      <c r="E39" s="886"/>
      <c r="F39" s="953"/>
      <c r="G39" s="954"/>
      <c r="H39" s="972"/>
      <c r="I39" s="973"/>
      <c r="J39" s="417"/>
      <c r="K39" s="418"/>
      <c r="L39" s="151"/>
      <c r="M39" s="292"/>
      <c r="N39" s="1026" t="str">
        <f>IF(T38=TRUE,F39*'Grundlagen GRUD'!C112,"")</f>
        <v/>
      </c>
      <c r="O39" s="1027"/>
      <c r="P39" s="83"/>
      <c r="Q39" s="545"/>
      <c r="R39" s="545"/>
      <c r="S39" s="545" t="b">
        <v>0</v>
      </c>
      <c r="T39" s="545" t="b">
        <v>0</v>
      </c>
      <c r="U39" s="545" t="b">
        <f>IF(AND(S39=TRUE,T39=TRUE),TRUE,FALSE)</f>
        <v>0</v>
      </c>
      <c r="V39" s="545"/>
      <c r="W39" s="545"/>
      <c r="X39" s="83"/>
    </row>
    <row r="40" spans="2:24" s="25" customFormat="1" ht="17.25" customHeight="1" x14ac:dyDescent="0.3">
      <c r="B40" s="744" t="s">
        <v>209</v>
      </c>
      <c r="C40" s="754"/>
      <c r="D40" s="754"/>
      <c r="E40" s="745"/>
      <c r="F40" s="941"/>
      <c r="G40" s="942"/>
      <c r="H40" s="1005"/>
      <c r="I40" s="1006"/>
      <c r="J40" s="527"/>
      <c r="K40" s="419"/>
      <c r="L40" s="131"/>
      <c r="M40" s="293"/>
      <c r="N40" s="1024" t="str">
        <f>IF(T39=TRUE,F40*'Grundlagen GRUD'!C112,"")</f>
        <v/>
      </c>
      <c r="O40" s="1025"/>
      <c r="P40" s="83"/>
      <c r="Q40" s="545"/>
      <c r="R40" s="545"/>
      <c r="S40" s="545" t="b">
        <v>0</v>
      </c>
      <c r="T40" s="545" t="b">
        <v>0</v>
      </c>
      <c r="U40" s="545" t="b">
        <f>IF(AND(S40=TRUE,T40=TRUE),TRUE,FALSE)</f>
        <v>0</v>
      </c>
      <c r="V40" s="545"/>
      <c r="W40" s="545"/>
      <c r="X40" s="83"/>
    </row>
    <row r="41" spans="2:24" s="25" customFormat="1" ht="18.75" customHeight="1" x14ac:dyDescent="0.3">
      <c r="B41" s="744" t="s">
        <v>210</v>
      </c>
      <c r="C41" s="754"/>
      <c r="D41" s="754"/>
      <c r="E41" s="745"/>
      <c r="F41" s="941"/>
      <c r="G41" s="942"/>
      <c r="H41" s="1005"/>
      <c r="I41" s="1006"/>
      <c r="J41" s="526"/>
      <c r="K41" s="419"/>
      <c r="L41" s="131"/>
      <c r="M41" s="293"/>
      <c r="N41" s="1024" t="str">
        <f>IF(T40=TRUE,F41*'Grundlagen GRUD'!C112,"")</f>
        <v/>
      </c>
      <c r="O41" s="1025"/>
      <c r="P41" s="83"/>
      <c r="Q41" s="545"/>
      <c r="R41" s="545"/>
      <c r="S41" s="545"/>
      <c r="T41" s="545"/>
      <c r="U41" s="545"/>
      <c r="V41" s="545"/>
      <c r="W41" s="545"/>
      <c r="X41" s="83"/>
    </row>
    <row r="42" spans="2:24" s="25" customFormat="1" ht="21" customHeight="1" x14ac:dyDescent="0.3">
      <c r="B42" s="923" t="s">
        <v>214</v>
      </c>
      <c r="C42" s="887"/>
      <c r="D42" s="887"/>
      <c r="E42" s="887"/>
      <c r="F42" s="887"/>
      <c r="G42" s="887"/>
      <c r="H42" s="887"/>
      <c r="I42" s="887"/>
      <c r="J42" s="887"/>
      <c r="K42" s="887"/>
      <c r="L42" s="887"/>
      <c r="M42" s="517"/>
      <c r="N42" s="1019"/>
      <c r="O42" s="1020"/>
      <c r="P42" s="83"/>
      <c r="Q42" s="545"/>
      <c r="R42" s="545"/>
      <c r="S42" s="545" t="b">
        <v>0</v>
      </c>
      <c r="T42" s="545" t="b">
        <v>0</v>
      </c>
      <c r="U42" s="545"/>
      <c r="V42" s="545"/>
      <c r="W42" s="545"/>
      <c r="X42" s="83"/>
    </row>
    <row r="43" spans="2:24" s="25" customFormat="1" ht="21" customHeight="1" thickBot="1" x14ac:dyDescent="0.35">
      <c r="B43" s="259" t="s">
        <v>293</v>
      </c>
      <c r="C43" s="950"/>
      <c r="D43" s="951"/>
      <c r="E43" s="951"/>
      <c r="F43" s="951"/>
      <c r="G43" s="951"/>
      <c r="H43" s="951"/>
      <c r="I43" s="951"/>
      <c r="J43" s="951"/>
      <c r="K43" s="951"/>
      <c r="L43" s="951"/>
      <c r="M43" s="1023"/>
      <c r="N43" s="1021"/>
      <c r="O43" s="1022"/>
      <c r="P43" s="83"/>
      <c r="Q43" s="545"/>
      <c r="R43" s="545"/>
      <c r="S43" s="545"/>
      <c r="T43" s="545"/>
      <c r="U43" s="545"/>
      <c r="V43" s="545"/>
      <c r="W43" s="545"/>
      <c r="X43" s="83"/>
    </row>
    <row r="44" spans="2:24" s="15" customFormat="1" ht="25.5" customHeight="1" thickBot="1" x14ac:dyDescent="0.55000000000000004">
      <c r="B44" s="289" t="s">
        <v>203</v>
      </c>
      <c r="C44" s="294"/>
      <c r="D44" s="294"/>
      <c r="E44" s="294"/>
      <c r="F44" s="987" t="str">
        <f>IF(OR(U38,U39,U40=TRUE),"Achtung Doppeleintrag beim Kanalisationsanschluss", "")</f>
        <v/>
      </c>
      <c r="G44" s="988"/>
      <c r="H44" s="988"/>
      <c r="I44" s="988"/>
      <c r="J44" s="988"/>
      <c r="K44" s="988"/>
      <c r="L44" s="988"/>
      <c r="M44" s="989"/>
      <c r="N44" s="1013">
        <f>SUM(N39:N42)</f>
        <v>0</v>
      </c>
      <c r="O44" s="1014"/>
      <c r="P44" s="221"/>
      <c r="Q44" s="543"/>
      <c r="R44" s="543"/>
      <c r="S44" s="543"/>
      <c r="T44" s="543"/>
      <c r="U44" s="543"/>
      <c r="V44" s="543"/>
      <c r="W44" s="543"/>
      <c r="X44" s="221"/>
    </row>
    <row r="45" spans="2:24" s="15" customFormat="1" ht="9.75" customHeight="1" x14ac:dyDescent="0.35">
      <c r="B45" s="295"/>
      <c r="C45" s="296"/>
      <c r="D45" s="296"/>
      <c r="E45" s="296"/>
      <c r="F45" s="296"/>
      <c r="G45" s="296"/>
      <c r="H45" s="296"/>
      <c r="I45" s="296"/>
      <c r="J45" s="296"/>
      <c r="K45" s="296"/>
      <c r="L45" s="297"/>
      <c r="M45" s="298"/>
      <c r="N45" s="299"/>
      <c r="O45" s="296"/>
      <c r="P45" s="221"/>
      <c r="Q45" s="543"/>
      <c r="R45" s="543"/>
      <c r="S45" s="543"/>
      <c r="T45" s="543"/>
      <c r="U45" s="543"/>
      <c r="V45" s="543"/>
      <c r="W45" s="543"/>
      <c r="X45" s="221"/>
    </row>
    <row r="46" spans="2:24" ht="13.5" customHeight="1" x14ac:dyDescent="0.3">
      <c r="B46" s="295"/>
      <c r="C46" s="296"/>
      <c r="D46" s="296"/>
      <c r="E46" s="296"/>
      <c r="F46" s="296"/>
      <c r="G46" s="296"/>
      <c r="H46" s="296"/>
      <c r="I46" s="296"/>
      <c r="J46" s="296"/>
      <c r="K46" s="296"/>
      <c r="L46" s="297"/>
      <c r="M46" s="298"/>
      <c r="N46" s="299"/>
      <c r="O46" s="296"/>
    </row>
    <row r="47" spans="2:24" ht="18.75" customHeight="1" x14ac:dyDescent="0.65">
      <c r="B47" s="227" t="s">
        <v>235</v>
      </c>
      <c r="C47" s="224"/>
      <c r="D47" s="224"/>
      <c r="E47" s="224"/>
      <c r="F47" s="224"/>
      <c r="G47" s="224"/>
      <c r="H47" s="224"/>
      <c r="I47" s="224"/>
      <c r="J47" s="224"/>
      <c r="K47" s="224"/>
      <c r="L47" s="300"/>
      <c r="M47" s="301"/>
      <c r="N47" s="302"/>
      <c r="O47" s="224"/>
    </row>
    <row r="48" spans="2:24" ht="8.25" customHeight="1" thickBot="1" x14ac:dyDescent="0.55000000000000004">
      <c r="B48" s="303"/>
      <c r="C48" s="22"/>
      <c r="D48" s="22"/>
      <c r="E48" s="22"/>
      <c r="F48" s="22"/>
      <c r="G48" s="22"/>
      <c r="H48" s="22"/>
      <c r="I48" s="22"/>
      <c r="J48" s="22"/>
      <c r="K48" s="22"/>
      <c r="L48" s="15"/>
      <c r="M48" s="304"/>
      <c r="N48" s="22"/>
      <c r="O48" s="22"/>
    </row>
    <row r="49" spans="2:15" x14ac:dyDescent="0.25">
      <c r="B49" s="305"/>
      <c r="C49" s="101"/>
      <c r="D49" s="101"/>
      <c r="E49" s="101"/>
      <c r="F49" s="969"/>
      <c r="J49" s="1007" t="s">
        <v>288</v>
      </c>
      <c r="K49" s="1008"/>
      <c r="L49" s="1008"/>
      <c r="M49" s="1008"/>
      <c r="N49" s="1008"/>
      <c r="O49" s="1009"/>
    </row>
    <row r="50" spans="2:15" ht="20.149999999999999" customHeight="1" thickBot="1" x14ac:dyDescent="0.55000000000000004">
      <c r="B50" s="875" t="s">
        <v>204</v>
      </c>
      <c r="C50" s="963"/>
      <c r="D50" s="963"/>
      <c r="E50" s="963"/>
      <c r="F50" s="970"/>
      <c r="J50" s="1010"/>
      <c r="K50" s="1011"/>
      <c r="L50" s="1011"/>
      <c r="M50" s="1011"/>
      <c r="N50" s="1011"/>
      <c r="O50" s="1012"/>
    </row>
    <row r="51" spans="2:15" ht="20.149999999999999" customHeight="1" x14ac:dyDescent="0.3">
      <c r="B51" s="271" t="s">
        <v>165</v>
      </c>
      <c r="C51" s="37"/>
      <c r="D51" s="272"/>
      <c r="E51" s="953"/>
      <c r="F51" s="1018"/>
      <c r="G51" s="55"/>
      <c r="H51" s="55"/>
      <c r="I51" s="306"/>
      <c r="J51" s="869" t="s">
        <v>165</v>
      </c>
      <c r="K51" s="870"/>
      <c r="L51" s="870"/>
      <c r="M51" s="974"/>
      <c r="N51" s="1017"/>
      <c r="O51" s="1018"/>
    </row>
    <row r="52" spans="2:15" ht="20.149999999999999" customHeight="1" x14ac:dyDescent="0.3">
      <c r="B52" s="271" t="s">
        <v>166</v>
      </c>
      <c r="C52" s="39"/>
      <c r="D52" s="256"/>
      <c r="E52" s="941"/>
      <c r="F52" s="964"/>
      <c r="G52" s="55"/>
      <c r="H52" s="300"/>
      <c r="I52" s="307"/>
      <c r="J52" s="960" t="s">
        <v>166</v>
      </c>
      <c r="K52" s="961"/>
      <c r="L52" s="961"/>
      <c r="M52" s="962"/>
      <c r="N52" s="995"/>
      <c r="O52" s="999"/>
    </row>
    <row r="53" spans="2:15" ht="20.149999999999999" customHeight="1" x14ac:dyDescent="0.3">
      <c r="B53" s="309" t="s">
        <v>167</v>
      </c>
      <c r="C53" s="39"/>
      <c r="D53" s="256"/>
      <c r="E53" s="941"/>
      <c r="F53" s="964"/>
      <c r="G53" s="55"/>
      <c r="H53" s="300"/>
      <c r="I53" s="307"/>
      <c r="J53" s="309" t="s">
        <v>167</v>
      </c>
      <c r="K53" s="523"/>
      <c r="L53" s="523"/>
      <c r="M53" s="524"/>
      <c r="N53" s="995"/>
      <c r="O53" s="996"/>
    </row>
    <row r="54" spans="2:15" ht="21" customHeight="1" thickBot="1" x14ac:dyDescent="0.35">
      <c r="B54" s="271" t="s">
        <v>294</v>
      </c>
      <c r="C54" s="308"/>
      <c r="D54" s="310"/>
      <c r="E54" s="965"/>
      <c r="F54" s="966"/>
      <c r="G54" s="55"/>
      <c r="H54" s="300"/>
      <c r="I54" s="307"/>
      <c r="J54" s="925" t="s">
        <v>294</v>
      </c>
      <c r="K54" s="958"/>
      <c r="L54" s="958"/>
      <c r="M54" s="959"/>
      <c r="N54" s="1015"/>
      <c r="O54" s="1016"/>
    </row>
    <row r="55" spans="2:15" ht="27" customHeight="1" thickBot="1" x14ac:dyDescent="0.55000000000000004">
      <c r="B55" s="264" t="s">
        <v>205</v>
      </c>
      <c r="C55" s="311"/>
      <c r="D55" s="311"/>
      <c r="E55" s="1000">
        <f>SUM(E51:F53)-E54</f>
        <v>0</v>
      </c>
      <c r="F55" s="929"/>
      <c r="G55" s="24"/>
      <c r="H55" s="24"/>
      <c r="I55" s="24"/>
      <c r="J55" s="264" t="s">
        <v>206</v>
      </c>
      <c r="K55" s="311"/>
      <c r="L55" s="312"/>
      <c r="M55" s="313"/>
      <c r="N55" s="997">
        <f>SUM(N51:O53)-N54</f>
        <v>0</v>
      </c>
      <c r="O55" s="998"/>
    </row>
    <row r="56" spans="2:15" x14ac:dyDescent="0.25">
      <c r="L56" s="8"/>
      <c r="M56" s="108"/>
    </row>
  </sheetData>
  <sheetProtection algorithmName="SHA-512" hashValue="PWBH1aYnsjcU65sa9AHL2BrLYBGIXJNsNgvw3Ii1x/kGtYZrM5pKTFU2AwSaXKMnWBidmZcqhRwmpX+3SpSwgQ==" saltValue="Ei08LLd2NIEHpeb5v9Xg6A==" spinCount="100000" sheet="1" selectLockedCells="1"/>
  <dataConsolidate/>
  <mergeCells count="94">
    <mergeCell ref="E51:F51"/>
    <mergeCell ref="N40:O40"/>
    <mergeCell ref="N33:O33"/>
    <mergeCell ref="N30:O30"/>
    <mergeCell ref="N32:O32"/>
    <mergeCell ref="K32:L32"/>
    <mergeCell ref="N39:O39"/>
    <mergeCell ref="N38:O38"/>
    <mergeCell ref="N41:O41"/>
    <mergeCell ref="K31:L31"/>
    <mergeCell ref="N53:O53"/>
    <mergeCell ref="N55:O55"/>
    <mergeCell ref="N52:O52"/>
    <mergeCell ref="E55:F55"/>
    <mergeCell ref="H38:I38"/>
    <mergeCell ref="L38:M38"/>
    <mergeCell ref="J38:K38"/>
    <mergeCell ref="F38:G38"/>
    <mergeCell ref="H40:I40"/>
    <mergeCell ref="H41:I41"/>
    <mergeCell ref="J49:O50"/>
    <mergeCell ref="N44:O44"/>
    <mergeCell ref="N54:O54"/>
    <mergeCell ref="N51:O51"/>
    <mergeCell ref="N42:O43"/>
    <mergeCell ref="C43:M43"/>
    <mergeCell ref="N6:O6"/>
    <mergeCell ref="N3:O3"/>
    <mergeCell ref="N4:O4"/>
    <mergeCell ref="N10:O10"/>
    <mergeCell ref="N11:O11"/>
    <mergeCell ref="K9:L9"/>
    <mergeCell ref="N9:O9"/>
    <mergeCell ref="F44:M44"/>
    <mergeCell ref="L2:M2"/>
    <mergeCell ref="N5:O5"/>
    <mergeCell ref="N8:O8"/>
    <mergeCell ref="K11:L11"/>
    <mergeCell ref="H3:K3"/>
    <mergeCell ref="F41:G41"/>
    <mergeCell ref="N25:O25"/>
    <mergeCell ref="K28:L28"/>
    <mergeCell ref="N29:O29"/>
    <mergeCell ref="G34:J34"/>
    <mergeCell ref="E19:L19"/>
    <mergeCell ref="K10:L10"/>
    <mergeCell ref="J12:L12"/>
    <mergeCell ref="N12:O12"/>
    <mergeCell ref="K14:L14"/>
    <mergeCell ref="K15:L15"/>
    <mergeCell ref="E18:L18"/>
    <mergeCell ref="E21:L21"/>
    <mergeCell ref="K16:L16"/>
    <mergeCell ref="N21:O21"/>
    <mergeCell ref="N17:O17"/>
    <mergeCell ref="K13:L13"/>
    <mergeCell ref="N14:O14"/>
    <mergeCell ref="N15:O15"/>
    <mergeCell ref="N16:O16"/>
    <mergeCell ref="N13:O13"/>
    <mergeCell ref="N24:O24"/>
    <mergeCell ref="N23:O23"/>
    <mergeCell ref="N22:O22"/>
    <mergeCell ref="N18:O18"/>
    <mergeCell ref="N19:O19"/>
    <mergeCell ref="N20:O20"/>
    <mergeCell ref="C3:D3"/>
    <mergeCell ref="J54:M54"/>
    <mergeCell ref="J52:M52"/>
    <mergeCell ref="B50:E50"/>
    <mergeCell ref="B42:L42"/>
    <mergeCell ref="E52:F52"/>
    <mergeCell ref="E54:F54"/>
    <mergeCell ref="F3:G3"/>
    <mergeCell ref="F49:F50"/>
    <mergeCell ref="E22:L22"/>
    <mergeCell ref="H39:I39"/>
    <mergeCell ref="K29:L29"/>
    <mergeCell ref="B41:E41"/>
    <mergeCell ref="J51:M51"/>
    <mergeCell ref="E53:F53"/>
    <mergeCell ref="C24:I24"/>
    <mergeCell ref="N26:O26"/>
    <mergeCell ref="F40:G40"/>
    <mergeCell ref="B39:E39"/>
    <mergeCell ref="K30:L30"/>
    <mergeCell ref="N31:O31"/>
    <mergeCell ref="B40:E40"/>
    <mergeCell ref="K33:L33"/>
    <mergeCell ref="N34:O35"/>
    <mergeCell ref="C35:L35"/>
    <mergeCell ref="F39:G39"/>
    <mergeCell ref="N36:O36"/>
    <mergeCell ref="N28:O28"/>
  </mergeCells>
  <phoneticPr fontId="0" type="noConversion"/>
  <dataValidations count="2">
    <dataValidation type="whole" allowBlank="1" showInputMessage="1" showErrorMessage="1" errorTitle="Ungültiger Wert" error="Bitte geben Sie eine gültige Anzahl ein." sqref="M28:M33 F39:I41 M18:M24" xr:uid="{00000000-0002-0000-0300-000000000000}">
      <formula1>0</formula1>
      <formula2>9999</formula2>
    </dataValidation>
    <dataValidation type="whole" allowBlank="1" showInputMessage="1" showErrorMessage="1" errorTitle="Ungültiger Wert" error="Bitte geben Sie eine gültige Anzahl ein." sqref="O54 N51:N54 O51:O52 E51:E54" xr:uid="{00000000-0002-0000-0300-000001000000}">
      <formula1>1</formula1>
      <formula2>99999</formula2>
    </dataValidation>
  </dataValidations>
  <printOptions horizontalCentered="1"/>
  <pageMargins left="0.39370078740157483" right="0.39370078740157483" top="0.35" bottom="0.43" header="0.22" footer="0.21"/>
  <pageSetup paperSize="9" scale="71" fitToHeight="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8" r:id="rId4" name="ja">
              <controlPr locked="0" defaultSize="0" autoFill="0" autoLine="0" autoPict="0">
                <anchor moveWithCells="1">
                  <from>
                    <xdr:col>9</xdr:col>
                    <xdr:colOff>184150</xdr:colOff>
                    <xdr:row>38</xdr:row>
                    <xdr:rowOff>57150</xdr:rowOff>
                  </from>
                  <to>
                    <xdr:col>10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" name="Check Box 55">
              <controlPr locked="0" defaultSize="0" autoFill="0" autoLine="0" autoPict="0" altText="Ja">
                <anchor moveWithCells="1">
                  <from>
                    <xdr:col>9</xdr:col>
                    <xdr:colOff>488950</xdr:colOff>
                    <xdr:row>38</xdr:row>
                    <xdr:rowOff>38100</xdr:rowOff>
                  </from>
                  <to>
                    <xdr:col>10</xdr:col>
                    <xdr:colOff>317500</xdr:colOff>
                    <xdr:row>38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6" name="Check Box 56">
              <controlPr locked="0" defaultSize="0" autoFill="0" autoLine="0" autoPict="0">
                <anchor moveWithCells="1">
                  <from>
                    <xdr:col>9</xdr:col>
                    <xdr:colOff>184150</xdr:colOff>
                    <xdr:row>39</xdr:row>
                    <xdr:rowOff>57150</xdr:rowOff>
                  </from>
                  <to>
                    <xdr:col>10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7" name="Check Box 57">
              <controlPr locked="0" defaultSize="0" autoFill="0" autoLine="0" autoPict="0">
                <anchor moveWithCells="1">
                  <from>
                    <xdr:col>9</xdr:col>
                    <xdr:colOff>184150</xdr:colOff>
                    <xdr:row>40</xdr:row>
                    <xdr:rowOff>57150</xdr:rowOff>
                  </from>
                  <to>
                    <xdr:col>10</xdr:col>
                    <xdr:colOff>19050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8" name="Check Box 58">
              <controlPr locked="0" defaultSize="0" autoFill="0" autoLine="0" autoPict="0" altText="Ja">
                <anchor moveWithCells="1">
                  <from>
                    <xdr:col>9</xdr:col>
                    <xdr:colOff>488950</xdr:colOff>
                    <xdr:row>39</xdr:row>
                    <xdr:rowOff>19050</xdr:rowOff>
                  </from>
                  <to>
                    <xdr:col>10</xdr:col>
                    <xdr:colOff>317500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9" name="Check Box 59">
              <controlPr locked="0" defaultSize="0" autoFill="0" autoLine="0" autoPict="0" altText="Ja">
                <anchor moveWithCells="1">
                  <from>
                    <xdr:col>9</xdr:col>
                    <xdr:colOff>488950</xdr:colOff>
                    <xdr:row>40</xdr:row>
                    <xdr:rowOff>19050</xdr:rowOff>
                  </from>
                  <to>
                    <xdr:col>10</xdr:col>
                    <xdr:colOff>323850</xdr:colOff>
                    <xdr:row>40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10" name="Check Box 63">
              <controlPr locked="0" defaultSize="0" autoFill="0" autoLine="0" autoPict="0">
                <anchor moveWithCells="1">
                  <from>
                    <xdr:col>6</xdr:col>
                    <xdr:colOff>31750</xdr:colOff>
                    <xdr:row>33</xdr:row>
                    <xdr:rowOff>107950</xdr:rowOff>
                  </from>
                  <to>
                    <xdr:col>10</xdr:col>
                    <xdr:colOff>279400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11" name="Check Box 64">
              <controlPr locked="0" defaultSize="0" autoFill="0" autoLine="0" autoPict="0">
                <anchor moveWithCells="1">
                  <from>
                    <xdr:col>7</xdr:col>
                    <xdr:colOff>298450</xdr:colOff>
                    <xdr:row>41</xdr:row>
                    <xdr:rowOff>95250</xdr:rowOff>
                  </from>
                  <to>
                    <xdr:col>9</xdr:col>
                    <xdr:colOff>419100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12" name="Check Box 65">
              <controlPr locked="0" defaultSize="0" autoFill="0" autoLine="0" autoPict="0">
                <anchor moveWithCells="1">
                  <from>
                    <xdr:col>9</xdr:col>
                    <xdr:colOff>488950</xdr:colOff>
                    <xdr:row>41</xdr:row>
                    <xdr:rowOff>88900</xdr:rowOff>
                  </from>
                  <to>
                    <xdr:col>12</xdr:col>
                    <xdr:colOff>323850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13" name="Check Box 67">
              <controlPr locked="0"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31750</xdr:rowOff>
                  </from>
                  <to>
                    <xdr:col>10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14" name="Check Box 72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12</xdr:row>
                    <xdr:rowOff>31750</xdr:rowOff>
                  </from>
                  <to>
                    <xdr:col>8</xdr:col>
                    <xdr:colOff>323850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15" name="Check Box 73">
              <controlPr locked="0" defaultSize="0" autoFill="0" autoLine="0" autoPict="0">
                <anchor moveWithCells="1">
                  <from>
                    <xdr:col>3</xdr:col>
                    <xdr:colOff>31750</xdr:colOff>
                    <xdr:row>26</xdr:row>
                    <xdr:rowOff>31750</xdr:rowOff>
                  </from>
                  <to>
                    <xdr:col>7</xdr:col>
                    <xdr:colOff>222250</xdr:colOff>
                    <xdr:row>26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indexed="10"/>
    <pageSetUpPr fitToPage="1"/>
  </sheetPr>
  <dimension ref="A1:X37"/>
  <sheetViews>
    <sheetView showGridLines="0" showZeros="0" zoomScale="80" zoomScaleNormal="80" workbookViewId="0">
      <selection activeCell="J10" sqref="J10"/>
    </sheetView>
  </sheetViews>
  <sheetFormatPr baseColWidth="10" defaultColWidth="11.453125" defaultRowHeight="12.5" x14ac:dyDescent="0.25"/>
  <cols>
    <col min="1" max="1" width="11.453125" style="12"/>
    <col min="2" max="8" width="6.54296875" style="12" customWidth="1"/>
    <col min="9" max="9" width="9.81640625" style="12" customWidth="1"/>
    <col min="10" max="12" width="6.54296875" style="12" customWidth="1"/>
    <col min="13" max="13" width="15.453125" style="12" customWidth="1"/>
    <col min="14" max="16384" width="11.453125" style="12"/>
  </cols>
  <sheetData>
    <row r="1" spans="1:24" s="8" customFormat="1" ht="72" customHeight="1" thickBot="1" x14ac:dyDescent="0.4">
      <c r="A1" s="213"/>
      <c r="B1" s="30"/>
      <c r="C1" s="30"/>
      <c r="D1" s="30"/>
      <c r="E1" s="30"/>
      <c r="F1" s="30"/>
      <c r="G1" s="30"/>
      <c r="H1" s="30"/>
      <c r="I1" s="213"/>
      <c r="J1" s="214"/>
      <c r="K1" s="214"/>
      <c r="L1" s="30"/>
      <c r="N1" s="215" t="str">
        <f>'Adresse + Ergebnis '!A3</f>
        <v xml:space="preserve">Grundlage: GRUD 2017 </v>
      </c>
      <c r="O1" s="30"/>
      <c r="P1" s="104"/>
      <c r="Q1" s="104"/>
      <c r="R1" s="104"/>
      <c r="S1" s="104"/>
      <c r="T1" s="104"/>
      <c r="U1" s="104"/>
      <c r="V1" s="104"/>
      <c r="W1" s="104"/>
      <c r="X1" s="104"/>
    </row>
    <row r="2" spans="1:24" s="8" customFormat="1" ht="41.25" customHeight="1" x14ac:dyDescent="0.65">
      <c r="A2" s="216" t="s">
        <v>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M2" s="218"/>
      <c r="N2" s="219">
        <f>'Adresse + Ergebnis '!N2:O2</f>
        <v>0</v>
      </c>
      <c r="O2" s="219" t="s">
        <v>219</v>
      </c>
      <c r="P2" s="104"/>
      <c r="Q2" s="104"/>
      <c r="R2" s="104"/>
      <c r="S2" s="104"/>
      <c r="T2" s="104"/>
      <c r="U2" s="104"/>
      <c r="V2" s="104"/>
      <c r="W2" s="104"/>
      <c r="X2" s="104"/>
    </row>
    <row r="3" spans="1:24" s="15" customFormat="1" ht="39" customHeight="1" x14ac:dyDescent="0.35">
      <c r="A3" s="25" t="s">
        <v>1</v>
      </c>
      <c r="B3" s="957">
        <f>'Adresse + Ergebnis '!B5</f>
        <v>0</v>
      </c>
      <c r="C3" s="957"/>
      <c r="E3" s="892" t="s">
        <v>116</v>
      </c>
      <c r="F3" s="892"/>
      <c r="G3" s="890" t="str">
        <f>'Abwasser, Hofdüngerlager'!H3</f>
        <v xml:space="preserve"> </v>
      </c>
      <c r="H3" s="890"/>
      <c r="I3" s="890"/>
      <c r="J3" s="890"/>
      <c r="L3" s="220" t="s">
        <v>2</v>
      </c>
      <c r="N3" s="891">
        <f>'Abwasser, Hofdüngerlager'!N3:O3</f>
        <v>0</v>
      </c>
      <c r="O3" s="891"/>
      <c r="P3" s="221"/>
      <c r="Q3" s="221"/>
      <c r="R3" s="221"/>
      <c r="S3" s="221"/>
      <c r="T3" s="221"/>
      <c r="U3" s="221"/>
      <c r="V3" s="221"/>
      <c r="W3" s="221"/>
      <c r="X3" s="221"/>
    </row>
    <row r="4" spans="1:24" s="23" customFormat="1" ht="20.25" customHeight="1" x14ac:dyDescent="0.35">
      <c r="A4" s="15"/>
      <c r="C4" s="22"/>
      <c r="E4" s="15"/>
      <c r="H4" s="222"/>
      <c r="I4" s="223"/>
      <c r="J4" s="12"/>
      <c r="L4" s="224" t="s">
        <v>34</v>
      </c>
      <c r="N4" s="893">
        <f>'Adresse + Ergebnis '!B11</f>
        <v>0</v>
      </c>
      <c r="O4" s="893"/>
      <c r="P4" s="225"/>
      <c r="Q4" s="225"/>
      <c r="R4" s="225"/>
      <c r="S4" s="225"/>
      <c r="T4" s="225"/>
      <c r="U4" s="225"/>
      <c r="V4" s="225"/>
      <c r="W4" s="225"/>
      <c r="X4" s="225"/>
    </row>
    <row r="5" spans="1:24" s="23" customFormat="1" ht="20.25" customHeight="1" x14ac:dyDescent="0.35">
      <c r="A5" s="15"/>
      <c r="C5" s="22"/>
      <c r="E5" s="15"/>
      <c r="H5" s="222"/>
      <c r="I5" s="223"/>
      <c r="J5" s="12"/>
      <c r="L5" s="226" t="s">
        <v>4</v>
      </c>
      <c r="N5" s="1034">
        <f>'Adresse + Ergebnis '!F11</f>
        <v>0</v>
      </c>
      <c r="O5" s="1034"/>
      <c r="P5" s="225"/>
      <c r="Q5" s="225"/>
      <c r="R5" s="225"/>
      <c r="S5" s="225"/>
      <c r="T5" s="225"/>
      <c r="U5" s="225"/>
      <c r="V5" s="225"/>
      <c r="W5" s="225"/>
      <c r="X5" s="225"/>
    </row>
    <row r="6" spans="1:24" s="22" customFormat="1" ht="33" customHeight="1" thickBot="1" x14ac:dyDescent="0.7">
      <c r="A6" s="227" t="s">
        <v>178</v>
      </c>
      <c r="H6" s="222"/>
      <c r="J6" s="228"/>
      <c r="L6" s="54"/>
      <c r="N6" s="229"/>
      <c r="O6" s="229"/>
      <c r="P6" s="225"/>
      <c r="Q6" s="225"/>
      <c r="R6" s="225"/>
      <c r="S6" s="225"/>
      <c r="T6" s="225"/>
      <c r="U6" s="225"/>
      <c r="V6" s="225"/>
      <c r="W6" s="225"/>
      <c r="X6" s="225"/>
    </row>
    <row r="7" spans="1:24" ht="50.25" customHeight="1" thickBot="1" x14ac:dyDescent="0.55000000000000004">
      <c r="A7" s="230" t="s">
        <v>177</v>
      </c>
      <c r="B7" s="231"/>
      <c r="C7" s="217"/>
      <c r="D7" s="217"/>
      <c r="E7" s="217"/>
      <c r="F7" s="217"/>
      <c r="G7" s="217"/>
      <c r="H7" s="217"/>
      <c r="I7" s="217"/>
      <c r="J7" s="217"/>
      <c r="K7" s="217"/>
      <c r="L7" s="473"/>
      <c r="M7" s="469"/>
      <c r="N7" s="1032" t="s">
        <v>233</v>
      </c>
      <c r="O7" s="1033"/>
    </row>
    <row r="8" spans="1:24" ht="77.25" customHeight="1" x14ac:dyDescent="0.3">
      <c r="A8" s="233" t="s">
        <v>131</v>
      </c>
      <c r="B8" s="39"/>
      <c r="C8" s="39"/>
      <c r="D8" s="39"/>
      <c r="E8" s="39"/>
      <c r="F8" s="39"/>
      <c r="G8" s="39"/>
      <c r="H8" s="39"/>
      <c r="I8" s="39"/>
      <c r="J8" s="234" t="s">
        <v>132</v>
      </c>
      <c r="K8" s="235" t="s">
        <v>133</v>
      </c>
      <c r="L8" s="488" t="s">
        <v>281</v>
      </c>
      <c r="M8" s="236" t="s">
        <v>53</v>
      </c>
      <c r="N8" s="114" t="s">
        <v>56</v>
      </c>
      <c r="O8" s="237" t="s">
        <v>134</v>
      </c>
    </row>
    <row r="9" spans="1:24" ht="24.65" customHeight="1" x14ac:dyDescent="0.3">
      <c r="A9" s="238" t="s">
        <v>135</v>
      </c>
      <c r="B9" s="25"/>
      <c r="C9" s="25"/>
      <c r="D9" s="25"/>
      <c r="E9" s="25"/>
      <c r="F9" s="25"/>
      <c r="G9" s="25"/>
      <c r="H9" s="25"/>
      <c r="I9" s="25"/>
      <c r="J9" s="239"/>
      <c r="K9" s="240"/>
      <c r="L9" s="241"/>
      <c r="M9" s="236"/>
      <c r="N9" s="242"/>
      <c r="O9" s="243"/>
    </row>
    <row r="10" spans="1:24" ht="14" x14ac:dyDescent="0.3">
      <c r="A10" s="244" t="s">
        <v>136</v>
      </c>
      <c r="B10" s="39"/>
      <c r="C10" s="39"/>
      <c r="D10" s="39"/>
      <c r="E10" s="39"/>
      <c r="F10" s="39"/>
      <c r="G10" s="39"/>
      <c r="H10" s="39"/>
      <c r="I10" s="41"/>
      <c r="J10" s="410"/>
      <c r="K10" s="420"/>
      <c r="L10" s="421"/>
      <c r="M10" s="237" t="s">
        <v>137</v>
      </c>
      <c r="N10" s="437">
        <v>19.2</v>
      </c>
      <c r="O10" s="443">
        <f>N10*J10/365*K10/100*L10</f>
        <v>0</v>
      </c>
    </row>
    <row r="11" spans="1:24" ht="14" x14ac:dyDescent="0.3">
      <c r="A11" s="244" t="s">
        <v>138</v>
      </c>
      <c r="B11" s="39"/>
      <c r="C11" s="245"/>
      <c r="D11" s="45"/>
      <c r="E11" s="39"/>
      <c r="F11" s="39"/>
      <c r="G11" s="39"/>
      <c r="H11" s="39"/>
      <c r="I11" s="39"/>
      <c r="J11" s="410"/>
      <c r="K11" s="420"/>
      <c r="L11" s="421"/>
      <c r="M11" s="237" t="s">
        <v>137</v>
      </c>
      <c r="N11" s="438">
        <v>3.6</v>
      </c>
      <c r="O11" s="443">
        <f>N11*J11/365*K11/100*L11</f>
        <v>0</v>
      </c>
    </row>
    <row r="12" spans="1:24" ht="14" x14ac:dyDescent="0.3">
      <c r="A12" s="244" t="s">
        <v>139</v>
      </c>
      <c r="B12" s="39"/>
      <c r="C12" s="39"/>
      <c r="D12" s="246"/>
      <c r="E12" s="39"/>
      <c r="F12" s="39"/>
      <c r="G12" s="39"/>
      <c r="H12" s="39"/>
      <c r="I12" s="39"/>
      <c r="J12" s="410"/>
      <c r="K12" s="420"/>
      <c r="L12" s="421"/>
      <c r="M12" s="247" t="s">
        <v>137</v>
      </c>
      <c r="N12" s="438">
        <v>19.2</v>
      </c>
      <c r="O12" s="443">
        <f>N12*J12/365*K12/100*L12</f>
        <v>0</v>
      </c>
    </row>
    <row r="13" spans="1:24" ht="14" x14ac:dyDescent="0.3">
      <c r="A13" s="244" t="s">
        <v>140</v>
      </c>
      <c r="B13" s="39"/>
      <c r="C13" s="39"/>
      <c r="D13" s="246"/>
      <c r="E13" s="39"/>
      <c r="F13" s="39"/>
      <c r="G13" s="39"/>
      <c r="H13" s="39"/>
      <c r="I13" s="39"/>
      <c r="J13" s="410"/>
      <c r="K13" s="420"/>
      <c r="L13" s="421"/>
      <c r="M13" s="247" t="s">
        <v>141</v>
      </c>
      <c r="N13" s="439">
        <v>60</v>
      </c>
      <c r="O13" s="443">
        <f>N13*J13/365*K13/100*L13</f>
        <v>0</v>
      </c>
    </row>
    <row r="14" spans="1:24" ht="14" x14ac:dyDescent="0.3">
      <c r="A14" s="244" t="s">
        <v>142</v>
      </c>
      <c r="B14" s="39"/>
      <c r="C14" s="39"/>
      <c r="D14" s="39"/>
      <c r="E14" s="39"/>
      <c r="F14" s="39"/>
      <c r="G14" s="39"/>
      <c r="H14" s="39"/>
      <c r="I14" s="39"/>
      <c r="J14" s="410"/>
      <c r="K14" s="420"/>
      <c r="L14" s="421"/>
      <c r="M14" s="247" t="s">
        <v>141</v>
      </c>
      <c r="N14" s="437">
        <v>26.4</v>
      </c>
      <c r="O14" s="443">
        <f>N14*J14/365*K14/100*L14</f>
        <v>0</v>
      </c>
    </row>
    <row r="15" spans="1:24" ht="14" x14ac:dyDescent="0.3">
      <c r="A15" s="248"/>
      <c r="B15" s="25"/>
      <c r="C15" s="25"/>
      <c r="D15" s="8"/>
      <c r="E15" s="25"/>
      <c r="F15" s="25"/>
      <c r="G15" s="25"/>
      <c r="H15" s="25"/>
      <c r="I15" s="39"/>
      <c r="J15" s="245"/>
      <c r="K15" s="143"/>
      <c r="L15" s="474"/>
      <c r="M15" s="478"/>
      <c r="N15" s="249"/>
      <c r="O15" s="237"/>
    </row>
    <row r="16" spans="1:24" ht="14" x14ac:dyDescent="0.3">
      <c r="A16" s="233" t="s">
        <v>207</v>
      </c>
      <c r="B16" s="39"/>
      <c r="C16" s="39"/>
      <c r="D16" s="250"/>
      <c r="E16" s="250"/>
      <c r="F16" s="250"/>
      <c r="G16" s="250"/>
      <c r="H16" s="250"/>
      <c r="I16" s="250"/>
      <c r="J16" s="251"/>
      <c r="K16" s="251"/>
      <c r="L16" s="525"/>
      <c r="M16" s="478" t="s">
        <v>143</v>
      </c>
      <c r="N16" s="440">
        <v>2</v>
      </c>
      <c r="O16" s="443">
        <f>N16*L16</f>
        <v>0</v>
      </c>
    </row>
    <row r="17" spans="1:16" ht="14" x14ac:dyDescent="0.3">
      <c r="A17" s="252"/>
      <c r="B17" s="25"/>
      <c r="C17" s="25"/>
      <c r="D17" s="253"/>
      <c r="E17" s="253"/>
      <c r="F17" s="253"/>
      <c r="G17" s="253"/>
      <c r="H17" s="253"/>
      <c r="I17" s="254"/>
      <c r="J17" s="255"/>
      <c r="K17" s="255"/>
      <c r="L17" s="475"/>
      <c r="M17" s="548"/>
      <c r="N17" s="549"/>
      <c r="O17" s="548"/>
    </row>
    <row r="18" spans="1:16" ht="14" x14ac:dyDescent="0.3">
      <c r="A18" s="238" t="s">
        <v>302</v>
      </c>
      <c r="B18" s="25"/>
      <c r="C18" s="25"/>
      <c r="D18" s="253"/>
      <c r="E18" s="253"/>
      <c r="F18" s="253"/>
      <c r="G18" s="552" t="s">
        <v>301</v>
      </c>
      <c r="H18" s="253"/>
      <c r="I18" s="257"/>
      <c r="J18" s="258"/>
      <c r="K18" s="258"/>
      <c r="L18" s="476"/>
      <c r="M18" s="550"/>
      <c r="N18" s="551"/>
      <c r="O18" s="550"/>
      <c r="P18" s="248"/>
    </row>
    <row r="19" spans="1:16" ht="14" x14ac:dyDescent="0.3">
      <c r="A19" s="38" t="s">
        <v>144</v>
      </c>
      <c r="B19" s="39"/>
      <c r="C19" s="39"/>
      <c r="D19" s="250"/>
      <c r="E19" s="250"/>
      <c r="F19" s="250"/>
      <c r="G19" s="553" t="s">
        <v>304</v>
      </c>
      <c r="H19" s="250"/>
      <c r="I19" s="250"/>
      <c r="J19" s="251"/>
      <c r="K19" s="251"/>
      <c r="L19" s="525"/>
      <c r="M19" s="478" t="s">
        <v>300</v>
      </c>
      <c r="N19" s="441">
        <v>4</v>
      </c>
      <c r="O19" s="444">
        <f>N19*L19</f>
        <v>0</v>
      </c>
    </row>
    <row r="20" spans="1:16" ht="14" x14ac:dyDescent="0.3">
      <c r="A20" s="38" t="s">
        <v>145</v>
      </c>
      <c r="B20" s="39"/>
      <c r="C20" s="39"/>
      <c r="D20" s="39"/>
      <c r="E20" s="39"/>
      <c r="F20" s="39"/>
      <c r="G20" s="553" t="s">
        <v>303</v>
      </c>
      <c r="H20" s="39"/>
      <c r="I20" s="39"/>
      <c r="J20" s="245"/>
      <c r="K20" s="245"/>
      <c r="L20" s="525"/>
      <c r="M20" s="478" t="s">
        <v>300</v>
      </c>
      <c r="N20" s="440">
        <v>2</v>
      </c>
      <c r="O20" s="443">
        <f>N20*L20</f>
        <v>0</v>
      </c>
    </row>
    <row r="21" spans="1:16" ht="14" x14ac:dyDescent="0.3">
      <c r="A21" s="38" t="s">
        <v>10</v>
      </c>
      <c r="B21" s="39"/>
      <c r="C21" s="39"/>
      <c r="D21" s="39"/>
      <c r="E21" s="39"/>
      <c r="F21" s="39"/>
      <c r="G21" s="553" t="s">
        <v>305</v>
      </c>
      <c r="H21" s="39"/>
      <c r="I21" s="39"/>
      <c r="J21" s="245"/>
      <c r="K21" s="245"/>
      <c r="L21" s="525"/>
      <c r="M21" s="478" t="s">
        <v>300</v>
      </c>
      <c r="N21" s="440">
        <v>0.04</v>
      </c>
      <c r="O21" s="443">
        <f>N21*L21</f>
        <v>0</v>
      </c>
    </row>
    <row r="22" spans="1:16" ht="14" x14ac:dyDescent="0.3">
      <c r="A22" s="38" t="s">
        <v>306</v>
      </c>
      <c r="B22" s="39"/>
      <c r="C22" s="39"/>
      <c r="D22" s="39"/>
      <c r="E22" s="39"/>
      <c r="F22" s="39"/>
      <c r="G22" s="553"/>
      <c r="H22" s="39"/>
      <c r="I22" s="39"/>
      <c r="J22" s="245"/>
      <c r="K22" s="245"/>
      <c r="L22" s="554"/>
      <c r="M22" s="478"/>
      <c r="N22" s="440"/>
      <c r="O22" s="555"/>
    </row>
    <row r="23" spans="1:16" ht="14" x14ac:dyDescent="0.3">
      <c r="A23" s="503"/>
      <c r="B23" s="70"/>
      <c r="C23" s="70"/>
      <c r="D23" s="70"/>
      <c r="E23" s="70"/>
      <c r="F23" s="70"/>
      <c r="G23" s="556"/>
      <c r="H23" s="70"/>
      <c r="I23" s="70"/>
      <c r="J23" s="557"/>
      <c r="K23" s="557"/>
      <c r="L23" s="558"/>
      <c r="M23" s="559"/>
      <c r="N23" s="560"/>
      <c r="O23" s="564"/>
    </row>
    <row r="24" spans="1:16" ht="14" x14ac:dyDescent="0.3">
      <c r="A24" s="89" t="s">
        <v>307</v>
      </c>
      <c r="B24" s="90"/>
      <c r="C24" s="90"/>
      <c r="D24" s="90"/>
      <c r="E24" s="90"/>
      <c r="F24" s="90"/>
      <c r="G24" s="561"/>
      <c r="H24" s="90"/>
      <c r="I24" s="90"/>
      <c r="J24" s="562"/>
      <c r="K24" s="562"/>
      <c r="L24" s="563"/>
      <c r="M24" s="237"/>
      <c r="N24" s="440"/>
      <c r="O24" s="565"/>
    </row>
    <row r="25" spans="1:16" ht="16.5" x14ac:dyDescent="0.3">
      <c r="A25" s="38" t="s">
        <v>308</v>
      </c>
      <c r="B25" s="39"/>
      <c r="C25" s="39"/>
      <c r="D25" s="39"/>
      <c r="E25" s="39"/>
      <c r="F25" s="39"/>
      <c r="G25" s="553"/>
      <c r="H25" s="39"/>
      <c r="I25" s="39"/>
      <c r="J25" s="245"/>
      <c r="K25" s="245"/>
      <c r="L25" s="547"/>
      <c r="M25" s="478" t="s">
        <v>311</v>
      </c>
      <c r="N25" s="440">
        <v>180</v>
      </c>
      <c r="O25" s="443">
        <f>L25*N25</f>
        <v>0</v>
      </c>
    </row>
    <row r="26" spans="1:16" ht="14" x14ac:dyDescent="0.3">
      <c r="A26" s="38" t="s">
        <v>309</v>
      </c>
      <c r="C26" s="39"/>
      <c r="D26" s="39"/>
      <c r="E26" s="39"/>
      <c r="F26" s="39"/>
      <c r="G26" s="553"/>
      <c r="H26" s="39"/>
      <c r="I26" s="39"/>
      <c r="J26" s="245"/>
      <c r="K26" s="245"/>
      <c r="L26" s="554"/>
      <c r="M26" s="478"/>
      <c r="N26" s="440"/>
      <c r="O26" s="555"/>
    </row>
    <row r="27" spans="1:16" ht="14" x14ac:dyDescent="0.3">
      <c r="A27" s="38" t="s">
        <v>310</v>
      </c>
      <c r="B27" s="39"/>
      <c r="C27" s="39"/>
      <c r="D27" s="39"/>
      <c r="E27" s="39"/>
      <c r="F27" s="39"/>
      <c r="G27" s="553"/>
      <c r="H27" s="39"/>
      <c r="I27" s="39"/>
      <c r="J27" s="245"/>
      <c r="K27" s="245"/>
      <c r="L27" s="554"/>
      <c r="M27" s="566">
        <v>0.02</v>
      </c>
      <c r="N27" s="440"/>
      <c r="O27" s="443">
        <f>O25*0.02</f>
        <v>0</v>
      </c>
    </row>
    <row r="28" spans="1:16" ht="14" x14ac:dyDescent="0.3">
      <c r="A28" s="38"/>
      <c r="B28" s="39"/>
      <c r="C28" s="39"/>
      <c r="D28" s="39"/>
      <c r="E28" s="39"/>
      <c r="F28" s="39"/>
      <c r="G28" s="39"/>
      <c r="H28" s="39"/>
      <c r="I28" s="39"/>
      <c r="J28" s="245"/>
      <c r="K28" s="245"/>
      <c r="L28" s="474"/>
      <c r="M28" s="478"/>
      <c r="N28" s="247"/>
      <c r="O28" s="237"/>
    </row>
    <row r="29" spans="1:16" ht="14" x14ac:dyDescent="0.3">
      <c r="A29" s="233" t="s">
        <v>146</v>
      </c>
      <c r="B29" s="39"/>
      <c r="C29" s="39"/>
      <c r="D29" s="39"/>
      <c r="E29" s="39"/>
      <c r="F29" s="39"/>
      <c r="G29" s="39"/>
      <c r="H29" s="39"/>
      <c r="I29" s="39"/>
      <c r="J29" s="245"/>
      <c r="K29" s="245"/>
      <c r="L29" s="525"/>
      <c r="M29" s="478" t="s">
        <v>147</v>
      </c>
      <c r="N29" s="442">
        <v>0.2</v>
      </c>
      <c r="O29" s="443"/>
    </row>
    <row r="30" spans="1:16" ht="14" x14ac:dyDescent="0.3">
      <c r="A30" s="238"/>
      <c r="B30" s="25"/>
      <c r="C30" s="25"/>
      <c r="D30" s="25"/>
      <c r="E30" s="25"/>
      <c r="F30" s="25"/>
      <c r="G30" s="25"/>
      <c r="H30" s="25"/>
      <c r="I30" s="39"/>
      <c r="J30" s="245"/>
      <c r="K30" s="245"/>
      <c r="L30" s="474"/>
      <c r="M30" s="478"/>
      <c r="N30" s="247"/>
      <c r="O30" s="237"/>
    </row>
    <row r="31" spans="1:16" ht="14" x14ac:dyDescent="0.3">
      <c r="A31" s="233" t="s">
        <v>148</v>
      </c>
      <c r="B31" s="39"/>
      <c r="C31" s="39"/>
      <c r="D31" s="39"/>
      <c r="E31" s="39"/>
      <c r="F31" s="39"/>
      <c r="G31" s="39"/>
      <c r="H31" s="39"/>
      <c r="I31" s="39"/>
      <c r="J31" s="245"/>
      <c r="K31" s="245"/>
      <c r="L31" s="525"/>
      <c r="M31" s="478" t="s">
        <v>149</v>
      </c>
      <c r="N31" s="442">
        <v>9</v>
      </c>
      <c r="O31" s="443">
        <f>N31*L31</f>
        <v>0</v>
      </c>
    </row>
    <row r="32" spans="1:16" ht="14" x14ac:dyDescent="0.3">
      <c r="A32" s="238"/>
      <c r="B32" s="25"/>
      <c r="C32" s="25"/>
      <c r="D32" s="25"/>
      <c r="E32" s="25"/>
      <c r="F32" s="25"/>
      <c r="G32" s="25"/>
      <c r="H32" s="25"/>
      <c r="I32" s="39"/>
      <c r="J32" s="245"/>
      <c r="K32" s="245"/>
      <c r="L32" s="474"/>
      <c r="M32" s="478"/>
      <c r="N32" s="247"/>
      <c r="O32" s="237"/>
    </row>
    <row r="33" spans="1:15" ht="14" x14ac:dyDescent="0.3">
      <c r="A33" s="233" t="s">
        <v>150</v>
      </c>
      <c r="B33" s="39"/>
      <c r="C33" s="39"/>
      <c r="D33" s="39"/>
      <c r="E33" s="39"/>
      <c r="F33" s="39"/>
      <c r="G33" s="39"/>
      <c r="H33" s="39"/>
      <c r="I33" s="39"/>
      <c r="J33" s="245"/>
      <c r="K33" s="245"/>
      <c r="L33" s="525"/>
      <c r="M33" s="478" t="s">
        <v>151</v>
      </c>
      <c r="N33" s="442">
        <v>6</v>
      </c>
      <c r="O33" s="443">
        <f>N33*L33</f>
        <v>0</v>
      </c>
    </row>
    <row r="34" spans="1:15" ht="14.5" thickBot="1" x14ac:dyDescent="0.35">
      <c r="A34" s="259"/>
      <c r="B34" s="94"/>
      <c r="C34" s="94"/>
      <c r="D34" s="94"/>
      <c r="E34" s="94"/>
      <c r="F34" s="94"/>
      <c r="G34" s="94"/>
      <c r="H34" s="94"/>
      <c r="I34" s="49"/>
      <c r="J34" s="260"/>
      <c r="K34" s="260"/>
      <c r="L34" s="477"/>
      <c r="M34" s="479"/>
      <c r="N34" s="261"/>
      <c r="O34" s="262"/>
    </row>
    <row r="35" spans="1:15" ht="17.5" thickBot="1" x14ac:dyDescent="0.55000000000000004">
      <c r="A35" s="64" t="s">
        <v>312</v>
      </c>
      <c r="B35" s="518"/>
      <c r="C35" s="518"/>
      <c r="D35" s="65"/>
      <c r="E35" s="65"/>
      <c r="F35" s="65"/>
      <c r="G35" s="65"/>
      <c r="H35" s="65"/>
      <c r="I35" s="65"/>
      <c r="J35" s="65"/>
      <c r="K35" s="65"/>
      <c r="L35" s="519"/>
      <c r="M35" s="521" t="s">
        <v>124</v>
      </c>
      <c r="N35" s="522"/>
      <c r="O35" s="422"/>
    </row>
    <row r="36" spans="1:15" ht="17.5" thickBot="1" x14ac:dyDescent="0.55000000000000004">
      <c r="A36" s="93" t="s">
        <v>292</v>
      </c>
      <c r="B36" s="263"/>
      <c r="C36" s="950"/>
      <c r="D36" s="1030"/>
      <c r="E36" s="1030"/>
      <c r="F36" s="1030"/>
      <c r="G36" s="1030"/>
      <c r="H36" s="1030"/>
      <c r="I36" s="1030"/>
      <c r="J36" s="1030"/>
      <c r="K36" s="1030"/>
      <c r="L36" s="1030"/>
      <c r="M36" s="1030"/>
      <c r="N36" s="1031"/>
      <c r="O36" s="520"/>
    </row>
    <row r="37" spans="1:15" ht="35.25" customHeight="1" thickBot="1" x14ac:dyDescent="0.55000000000000004">
      <c r="A37" s="264" t="s">
        <v>234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445">
        <f>SUM(O10:O35)</f>
        <v>0</v>
      </c>
    </row>
  </sheetData>
  <sheetProtection algorithmName="SHA-512" hashValue="nAit5Wp92WlKyNYzct9KthVS5ZgeY3pBEGn/lbzzaLe+DPqGO4LGHHcIUY+FAGaSaX2+PczTevGC9Dt93ByRwQ==" saltValue="gcLUkaPblV3DVGrQ1qtRtw==" spinCount="100000" sheet="1" selectLockedCells="1"/>
  <mergeCells count="8">
    <mergeCell ref="C36:N36"/>
    <mergeCell ref="N3:O3"/>
    <mergeCell ref="N7:O7"/>
    <mergeCell ref="B3:C3"/>
    <mergeCell ref="E3:F3"/>
    <mergeCell ref="G3:J3"/>
    <mergeCell ref="N4:O4"/>
    <mergeCell ref="N5:O5"/>
  </mergeCells>
  <phoneticPr fontId="41" type="noConversion"/>
  <dataValidations count="1">
    <dataValidation type="whole" allowBlank="1" showInputMessage="1" showErrorMessage="1" errorTitle="Ungültiger Wert" error="Bitte geben Sie eine gültige Anzahl ein." sqref="J10:L14 L16 L19:L27 L29 L31 L33" xr:uid="{00000000-0002-0000-0400-000000000000}">
      <formula1>1</formula1>
      <formula2>9999</formula2>
    </dataValidation>
  </dataValidations>
  <pageMargins left="0.39370078740157483" right="0.39370078740157483" top="0.35433070866141736" bottom="0.43307086614173229" header="0.23622047244094491" footer="0.19685039370078741"/>
  <pageSetup paperSize="9" scale="76" orientation="portrait" r:id="rId1"/>
  <headerFooter alignWithMargins="0"/>
  <ignoredErrors>
    <ignoredError sqref="O2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indexed="11"/>
  </sheetPr>
  <dimension ref="A1:W114"/>
  <sheetViews>
    <sheetView topLeftCell="B67" zoomScale="75" zoomScaleNormal="75" zoomScaleSheetLayoutView="100" workbookViewId="0">
      <selection activeCell="X14" sqref="X14"/>
    </sheetView>
  </sheetViews>
  <sheetFormatPr baseColWidth="10" defaultColWidth="11.453125" defaultRowHeight="13" x14ac:dyDescent="0.3"/>
  <cols>
    <col min="1" max="1" width="45.81640625" style="12" customWidth="1"/>
    <col min="2" max="2" width="10.1796875" style="12" customWidth="1"/>
    <col min="3" max="3" width="12.54296875" style="114" customWidth="1"/>
    <col min="4" max="4" width="14" style="114" customWidth="1"/>
    <col min="5" max="5" width="10.453125" style="114" customWidth="1"/>
    <col min="6" max="6" width="19.54296875" style="114" customWidth="1"/>
    <col min="7" max="7" width="15.7265625" style="108" customWidth="1"/>
    <col min="8" max="8" width="16.54296875" style="115" customWidth="1"/>
    <col min="9" max="9" width="24.81640625" style="108" customWidth="1"/>
    <col min="10" max="10" width="22.81640625" style="115" customWidth="1"/>
    <col min="11" max="11" width="19.1796875" style="108" customWidth="1"/>
    <col min="12" max="12" width="19.26953125" style="115" customWidth="1"/>
    <col min="13" max="13" width="8.54296875" style="114" customWidth="1"/>
    <col min="14" max="14" width="8.7265625" style="595" customWidth="1"/>
    <col min="15" max="23" width="11.453125" style="573"/>
    <col min="24" max="16384" width="11.453125" style="12"/>
  </cols>
  <sheetData>
    <row r="1" spans="1:14" ht="12.75" customHeight="1" x14ac:dyDescent="0.3">
      <c r="I1" s="69"/>
      <c r="J1" s="8"/>
      <c r="K1" s="1068" t="s">
        <v>339</v>
      </c>
      <c r="L1" s="1084"/>
      <c r="M1" s="1084"/>
      <c r="N1" s="1085"/>
    </row>
    <row r="2" spans="1:14" x14ac:dyDescent="0.3">
      <c r="I2" s="8"/>
      <c r="J2" s="8"/>
      <c r="K2" s="1084"/>
      <c r="L2" s="1084"/>
      <c r="M2" s="1084"/>
      <c r="N2" s="1085"/>
    </row>
    <row r="3" spans="1:14" x14ac:dyDescent="0.3">
      <c r="I3" s="8"/>
      <c r="J3" s="8"/>
      <c r="K3" s="1084"/>
      <c r="L3" s="1084"/>
      <c r="M3" s="1084"/>
      <c r="N3" s="1085"/>
    </row>
    <row r="4" spans="1:14" x14ac:dyDescent="0.3">
      <c r="I4" s="8"/>
      <c r="J4" s="8"/>
      <c r="K4" s="1084"/>
      <c r="L4" s="1084"/>
      <c r="M4" s="1084"/>
      <c r="N4" s="1085"/>
    </row>
    <row r="5" spans="1:14" x14ac:dyDescent="0.3">
      <c r="I5" s="8"/>
      <c r="J5" s="8"/>
      <c r="K5" s="1084"/>
      <c r="L5" s="1084"/>
      <c r="M5" s="1084"/>
      <c r="N5" s="1085"/>
    </row>
    <row r="6" spans="1:14" ht="13.5" thickBot="1" x14ac:dyDescent="0.35"/>
    <row r="7" spans="1:14" ht="12.5" x14ac:dyDescent="0.25">
      <c r="A7" s="1045" t="s">
        <v>221</v>
      </c>
      <c r="B7" s="1089" t="s">
        <v>313</v>
      </c>
      <c r="C7" s="1090"/>
      <c r="D7" s="1090"/>
      <c r="E7" s="1090"/>
      <c r="F7" s="1090"/>
      <c r="G7" s="1090"/>
      <c r="H7" s="1090"/>
      <c r="I7" s="1090"/>
      <c r="J7" s="1090"/>
      <c r="K7" s="1090"/>
      <c r="L7" s="1090"/>
      <c r="M7" s="1090"/>
      <c r="N7" s="1091"/>
    </row>
    <row r="8" spans="1:14" ht="19.5" customHeight="1" x14ac:dyDescent="0.3">
      <c r="A8" s="1046"/>
      <c r="B8" s="1094" t="s">
        <v>254</v>
      </c>
      <c r="C8" s="116" t="s">
        <v>108</v>
      </c>
      <c r="D8" s="1055"/>
      <c r="E8" s="1056"/>
      <c r="F8" s="116" t="s">
        <v>39</v>
      </c>
      <c r="G8" s="1082" t="s">
        <v>109</v>
      </c>
      <c r="H8" s="1083"/>
      <c r="I8" s="1082" t="s">
        <v>110</v>
      </c>
      <c r="J8" s="1083"/>
      <c r="K8" s="1082" t="s">
        <v>111</v>
      </c>
      <c r="L8" s="1083"/>
      <c r="M8" s="1077" t="s">
        <v>340</v>
      </c>
      <c r="N8" s="1092" t="s">
        <v>341</v>
      </c>
    </row>
    <row r="9" spans="1:14" x14ac:dyDescent="0.3">
      <c r="A9" s="1046"/>
      <c r="B9" s="1095"/>
      <c r="C9" s="119"/>
      <c r="D9" s="1097"/>
      <c r="E9" s="1098"/>
      <c r="F9" s="119"/>
      <c r="G9" s="1080" t="s">
        <v>247</v>
      </c>
      <c r="H9" s="1081"/>
      <c r="I9" s="1080" t="s">
        <v>248</v>
      </c>
      <c r="J9" s="1081"/>
      <c r="K9" s="1080" t="s">
        <v>112</v>
      </c>
      <c r="L9" s="1081"/>
      <c r="M9" s="1078"/>
      <c r="N9" s="1093"/>
    </row>
    <row r="10" spans="1:14" x14ac:dyDescent="0.3">
      <c r="A10" s="1046"/>
      <c r="B10" s="1095"/>
      <c r="C10" s="119"/>
      <c r="D10" s="120"/>
      <c r="E10" s="121"/>
      <c r="F10" s="119"/>
      <c r="G10" s="1071" t="s">
        <v>249</v>
      </c>
      <c r="H10" s="1086"/>
      <c r="I10" s="1069" t="s">
        <v>251</v>
      </c>
      <c r="J10" s="1070"/>
      <c r="K10" s="1071" t="s">
        <v>252</v>
      </c>
      <c r="L10" s="1072"/>
      <c r="M10" s="1078"/>
      <c r="N10" s="1093"/>
    </row>
    <row r="11" spans="1:14" x14ac:dyDescent="0.3">
      <c r="A11" s="1046"/>
      <c r="B11" s="1096"/>
      <c r="C11" s="122"/>
      <c r="D11" s="120"/>
      <c r="E11" s="121"/>
      <c r="F11" s="122"/>
      <c r="G11" s="123"/>
      <c r="H11" s="124"/>
      <c r="I11" s="1073" t="s">
        <v>253</v>
      </c>
      <c r="J11" s="1074"/>
      <c r="K11" s="1075"/>
      <c r="L11" s="1076"/>
      <c r="M11" s="1078"/>
      <c r="N11" s="1093"/>
    </row>
    <row r="12" spans="1:14" x14ac:dyDescent="0.3">
      <c r="A12" s="1046"/>
      <c r="B12" s="125" t="s">
        <v>53</v>
      </c>
      <c r="C12" s="126" t="s">
        <v>57</v>
      </c>
      <c r="D12" s="127"/>
      <c r="E12" s="128"/>
      <c r="F12" s="129" t="s">
        <v>58</v>
      </c>
      <c r="G12" s="126" t="s">
        <v>57</v>
      </c>
      <c r="H12" s="129" t="s">
        <v>58</v>
      </c>
      <c r="I12" s="126" t="s">
        <v>57</v>
      </c>
      <c r="J12" s="129" t="s">
        <v>58</v>
      </c>
      <c r="K12" s="126" t="s">
        <v>57</v>
      </c>
      <c r="L12" s="129" t="s">
        <v>58</v>
      </c>
      <c r="M12" s="1079"/>
      <c r="N12" s="1093"/>
    </row>
    <row r="13" spans="1:14" ht="21" customHeight="1" x14ac:dyDescent="0.3">
      <c r="A13" s="1047"/>
      <c r="B13" s="125"/>
      <c r="C13" s="130"/>
      <c r="D13" s="131"/>
      <c r="E13" s="132"/>
      <c r="F13" s="130"/>
      <c r="G13" s="133"/>
      <c r="H13" s="129"/>
      <c r="I13" s="133"/>
      <c r="J13" s="129"/>
      <c r="K13" s="133"/>
      <c r="L13" s="129"/>
      <c r="M13" s="130"/>
      <c r="N13" s="638"/>
    </row>
    <row r="14" spans="1:14" ht="12.5" x14ac:dyDescent="0.25">
      <c r="A14" s="644" t="s">
        <v>342</v>
      </c>
      <c r="B14" s="125" t="s">
        <v>59</v>
      </c>
      <c r="C14" s="130">
        <v>23</v>
      </c>
      <c r="D14" s="131"/>
      <c r="E14" s="132"/>
      <c r="F14" s="130">
        <v>21</v>
      </c>
      <c r="G14" s="133">
        <v>17.3</v>
      </c>
      <c r="H14" s="133">
        <v>5.3</v>
      </c>
      <c r="I14" s="133">
        <v>11.5</v>
      </c>
      <c r="J14" s="133">
        <v>10.5</v>
      </c>
      <c r="K14" s="133">
        <v>5.8</v>
      </c>
      <c r="L14" s="133">
        <v>15.8</v>
      </c>
      <c r="M14" s="130">
        <v>1</v>
      </c>
      <c r="N14" s="638">
        <v>1.1000000000000001</v>
      </c>
    </row>
    <row r="15" spans="1:14" x14ac:dyDescent="0.3">
      <c r="A15" s="642" t="s">
        <v>315</v>
      </c>
      <c r="B15" s="135"/>
      <c r="C15" s="136"/>
      <c r="D15" s="137"/>
      <c r="E15" s="138"/>
      <c r="F15" s="136"/>
      <c r="G15" s="136"/>
      <c r="H15" s="139"/>
      <c r="I15" s="136"/>
      <c r="J15" s="139"/>
      <c r="K15" s="136"/>
      <c r="L15" s="139"/>
      <c r="M15" s="136"/>
      <c r="N15" s="638"/>
    </row>
    <row r="16" spans="1:14" ht="12.5" x14ac:dyDescent="0.25">
      <c r="A16" s="643"/>
      <c r="B16" s="135"/>
      <c r="C16" s="136"/>
      <c r="D16" s="137"/>
      <c r="E16" s="138"/>
      <c r="F16" s="136"/>
      <c r="G16" s="136"/>
      <c r="H16" s="139"/>
      <c r="I16" s="136"/>
      <c r="J16" s="139"/>
      <c r="K16" s="136"/>
      <c r="L16" s="139"/>
      <c r="M16" s="136"/>
      <c r="N16" s="638"/>
    </row>
    <row r="17" spans="1:23" s="574" customFormat="1" ht="12.5" x14ac:dyDescent="0.25">
      <c r="A17" s="644" t="s">
        <v>314</v>
      </c>
      <c r="B17" s="645" t="s">
        <v>59</v>
      </c>
      <c r="C17" s="646">
        <v>19</v>
      </c>
      <c r="D17" s="647"/>
      <c r="E17" s="648"/>
      <c r="F17" s="646">
        <v>18</v>
      </c>
      <c r="G17" s="646">
        <v>14.3</v>
      </c>
      <c r="H17" s="646">
        <v>4.5</v>
      </c>
      <c r="I17" s="646">
        <v>9.5</v>
      </c>
      <c r="J17" s="646">
        <v>9</v>
      </c>
      <c r="K17" s="646">
        <v>4.8</v>
      </c>
      <c r="L17" s="646">
        <v>13.5</v>
      </c>
      <c r="M17" s="681">
        <v>1</v>
      </c>
      <c r="N17" s="638">
        <v>0.9</v>
      </c>
      <c r="O17" s="593"/>
    </row>
    <row r="18" spans="1:23" s="140" customFormat="1" ht="12.5" x14ac:dyDescent="0.25">
      <c r="A18" s="641" t="s">
        <v>316</v>
      </c>
      <c r="B18" s="649" t="s">
        <v>59</v>
      </c>
      <c r="C18" s="650">
        <v>17</v>
      </c>
      <c r="D18" s="651"/>
      <c r="E18" s="652"/>
      <c r="F18" s="653">
        <v>16</v>
      </c>
      <c r="G18" s="654">
        <v>12.8</v>
      </c>
      <c r="H18" s="654">
        <v>4</v>
      </c>
      <c r="I18" s="654">
        <v>8.5</v>
      </c>
      <c r="J18" s="654">
        <v>8</v>
      </c>
      <c r="K18" s="654">
        <v>4.3</v>
      </c>
      <c r="L18" s="654">
        <v>12</v>
      </c>
      <c r="M18" s="682">
        <v>1</v>
      </c>
      <c r="N18" s="638">
        <v>0.8</v>
      </c>
      <c r="O18" s="594"/>
      <c r="P18" s="573"/>
      <c r="Q18" s="573"/>
      <c r="R18" s="573"/>
      <c r="S18" s="573"/>
      <c r="T18" s="573"/>
      <c r="U18" s="573"/>
      <c r="V18" s="573"/>
      <c r="W18" s="573"/>
    </row>
    <row r="19" spans="1:23" ht="12.5" x14ac:dyDescent="0.25">
      <c r="A19" s="641" t="s">
        <v>332</v>
      </c>
      <c r="B19" s="649" t="s">
        <v>59</v>
      </c>
      <c r="C19" s="653">
        <v>15</v>
      </c>
      <c r="D19" s="651"/>
      <c r="E19" s="652"/>
      <c r="F19" s="653">
        <v>13</v>
      </c>
      <c r="G19" s="654">
        <v>11.3</v>
      </c>
      <c r="H19" s="654">
        <v>3.3</v>
      </c>
      <c r="I19" s="654">
        <v>7.5</v>
      </c>
      <c r="J19" s="654">
        <v>6.5</v>
      </c>
      <c r="K19" s="654">
        <v>3.8</v>
      </c>
      <c r="L19" s="654">
        <v>9.8000000000000007</v>
      </c>
      <c r="M19" s="682">
        <v>1</v>
      </c>
      <c r="N19" s="638">
        <v>0.7</v>
      </c>
      <c r="O19" s="594"/>
    </row>
    <row r="20" spans="1:23" ht="12.5" x14ac:dyDescent="0.25">
      <c r="A20" s="141" t="s">
        <v>68</v>
      </c>
      <c r="B20" s="649" t="s">
        <v>59</v>
      </c>
      <c r="C20" s="653">
        <v>5.5</v>
      </c>
      <c r="D20" s="651"/>
      <c r="E20" s="652"/>
      <c r="F20" s="653">
        <v>5</v>
      </c>
      <c r="G20" s="654">
        <v>4.0999999999999996</v>
      </c>
      <c r="H20" s="654">
        <v>1.3</v>
      </c>
      <c r="I20" s="654">
        <v>2.8</v>
      </c>
      <c r="J20" s="654">
        <v>2.5</v>
      </c>
      <c r="K20" s="654">
        <v>1.4</v>
      </c>
      <c r="L20" s="654">
        <v>3.8</v>
      </c>
      <c r="M20" s="682">
        <v>0.23</v>
      </c>
      <c r="N20" s="638">
        <v>0.26</v>
      </c>
      <c r="O20" s="594"/>
    </row>
    <row r="21" spans="1:23" ht="12.5" x14ac:dyDescent="0.25">
      <c r="A21" s="141" t="s">
        <v>69</v>
      </c>
      <c r="B21" s="649" t="s">
        <v>59</v>
      </c>
      <c r="C21" s="653">
        <v>8</v>
      </c>
      <c r="D21" s="651"/>
      <c r="E21" s="652"/>
      <c r="F21" s="653">
        <v>7.6</v>
      </c>
      <c r="G21" s="654">
        <v>6</v>
      </c>
      <c r="H21" s="654">
        <v>1.9</v>
      </c>
      <c r="I21" s="654">
        <v>4</v>
      </c>
      <c r="J21" s="654">
        <v>3.8</v>
      </c>
      <c r="K21" s="654">
        <v>2</v>
      </c>
      <c r="L21" s="654">
        <v>5.7</v>
      </c>
      <c r="M21" s="682">
        <v>0.4</v>
      </c>
      <c r="N21" s="638">
        <v>0.4</v>
      </c>
      <c r="O21" s="594"/>
    </row>
    <row r="22" spans="1:23" ht="12.5" x14ac:dyDescent="0.25">
      <c r="A22" s="141" t="s">
        <v>70</v>
      </c>
      <c r="B22" s="649" t="s">
        <v>59</v>
      </c>
      <c r="C22" s="653">
        <v>12</v>
      </c>
      <c r="D22" s="651"/>
      <c r="E22" s="652"/>
      <c r="F22" s="653">
        <v>10</v>
      </c>
      <c r="G22" s="654">
        <v>9</v>
      </c>
      <c r="H22" s="654">
        <v>2.5</v>
      </c>
      <c r="I22" s="654">
        <v>6</v>
      </c>
      <c r="J22" s="654">
        <v>5</v>
      </c>
      <c r="K22" s="654">
        <v>3</v>
      </c>
      <c r="L22" s="654">
        <v>7.5</v>
      </c>
      <c r="M22" s="682">
        <v>0.6</v>
      </c>
      <c r="N22" s="638">
        <v>0.55000000000000004</v>
      </c>
      <c r="O22" s="594"/>
    </row>
    <row r="23" spans="1:23" ht="12.5" x14ac:dyDescent="0.25">
      <c r="A23" s="134" t="s">
        <v>71</v>
      </c>
      <c r="B23" s="649" t="s">
        <v>60</v>
      </c>
      <c r="C23" s="653"/>
      <c r="D23" s="651"/>
      <c r="E23" s="652"/>
      <c r="F23" s="653">
        <v>3.2</v>
      </c>
      <c r="G23" s="654"/>
      <c r="H23" s="654"/>
      <c r="I23" s="654"/>
      <c r="J23" s="654"/>
      <c r="K23" s="654"/>
      <c r="L23" s="654"/>
      <c r="M23" s="682">
        <v>0.1</v>
      </c>
      <c r="N23" s="638">
        <v>0.19</v>
      </c>
      <c r="O23" s="594"/>
    </row>
    <row r="24" spans="1:23" ht="12.5" x14ac:dyDescent="0.25">
      <c r="A24" s="134" t="s">
        <v>72</v>
      </c>
      <c r="B24" s="649" t="s">
        <v>59</v>
      </c>
      <c r="C24" s="653"/>
      <c r="D24" s="651"/>
      <c r="E24" s="652"/>
      <c r="F24" s="653">
        <v>3.9</v>
      </c>
      <c r="G24" s="654"/>
      <c r="H24" s="654"/>
      <c r="I24" s="654">
        <v>2.2999999999999998</v>
      </c>
      <c r="J24" s="655">
        <v>2</v>
      </c>
      <c r="K24" s="654"/>
      <c r="L24" s="654"/>
      <c r="M24" s="682">
        <v>0.22</v>
      </c>
      <c r="N24" s="638">
        <v>0.43</v>
      </c>
      <c r="O24" s="594"/>
    </row>
    <row r="25" spans="1:23" ht="12.5" x14ac:dyDescent="0.25">
      <c r="A25" s="134" t="s">
        <v>61</v>
      </c>
      <c r="B25" s="649" t="s">
        <v>59</v>
      </c>
      <c r="C25" s="653">
        <v>18.399999999999999</v>
      </c>
      <c r="D25" s="651"/>
      <c r="E25" s="652"/>
      <c r="F25" s="653">
        <v>16.8</v>
      </c>
      <c r="G25" s="654">
        <v>13.8</v>
      </c>
      <c r="H25" s="654">
        <v>4.2</v>
      </c>
      <c r="I25" s="654">
        <v>9.1999999999999993</v>
      </c>
      <c r="J25" s="654">
        <v>8.4</v>
      </c>
      <c r="K25" s="654">
        <v>4.5999999999999996</v>
      </c>
      <c r="L25" s="654">
        <v>12.6</v>
      </c>
      <c r="M25" s="682">
        <v>0.6</v>
      </c>
      <c r="N25" s="638">
        <v>0.5</v>
      </c>
      <c r="O25" s="594"/>
    </row>
    <row r="26" spans="1:23" ht="12.5" x14ac:dyDescent="0.25">
      <c r="A26" s="134"/>
      <c r="B26" s="649"/>
      <c r="C26" s="653"/>
      <c r="D26" s="651"/>
      <c r="E26" s="652"/>
      <c r="F26" s="653"/>
      <c r="G26" s="654"/>
      <c r="H26" s="654"/>
      <c r="I26" s="654"/>
      <c r="J26" s="654"/>
      <c r="K26" s="654"/>
      <c r="L26" s="654"/>
      <c r="M26" s="682"/>
      <c r="N26" s="638"/>
      <c r="O26" s="594"/>
    </row>
    <row r="27" spans="1:23" ht="12.5" x14ac:dyDescent="0.25">
      <c r="A27" s="142" t="s">
        <v>105</v>
      </c>
      <c r="B27" s="649" t="s">
        <v>60</v>
      </c>
      <c r="C27" s="653">
        <v>1.5</v>
      </c>
      <c r="D27" s="651"/>
      <c r="E27" s="652"/>
      <c r="F27" s="653">
        <v>1.4</v>
      </c>
      <c r="G27" s="654">
        <v>1.1000000000000001</v>
      </c>
      <c r="H27" s="654">
        <v>0.3</v>
      </c>
      <c r="I27" s="654">
        <v>0.8</v>
      </c>
      <c r="J27" s="654">
        <v>0.7</v>
      </c>
      <c r="K27" s="654">
        <v>0.4</v>
      </c>
      <c r="L27" s="654">
        <v>1</v>
      </c>
      <c r="M27" s="682">
        <v>0.1</v>
      </c>
      <c r="N27" s="638">
        <v>0.09</v>
      </c>
      <c r="O27" s="594"/>
    </row>
    <row r="28" spans="1:23" ht="12.5" x14ac:dyDescent="0.25">
      <c r="A28" s="134" t="s">
        <v>274</v>
      </c>
      <c r="B28" s="649" t="s">
        <v>60</v>
      </c>
      <c r="C28" s="653">
        <v>5.8</v>
      </c>
      <c r="D28" s="651"/>
      <c r="E28" s="652"/>
      <c r="F28" s="653">
        <v>5.3</v>
      </c>
      <c r="G28" s="654">
        <v>4.4000000000000004</v>
      </c>
      <c r="H28" s="654">
        <v>1.3</v>
      </c>
      <c r="I28" s="654">
        <v>2.9</v>
      </c>
      <c r="J28" s="654">
        <v>2.6</v>
      </c>
      <c r="K28" s="654">
        <v>1.5</v>
      </c>
      <c r="L28" s="654">
        <v>4</v>
      </c>
      <c r="M28" s="682">
        <v>0.27</v>
      </c>
      <c r="N28" s="638">
        <v>0.31</v>
      </c>
      <c r="O28" s="594"/>
    </row>
    <row r="29" spans="1:23" thickBot="1" x14ac:dyDescent="0.3">
      <c r="A29" s="144" t="s">
        <v>190</v>
      </c>
      <c r="B29" s="656" t="s">
        <v>60</v>
      </c>
      <c r="C29" s="657">
        <v>7.5</v>
      </c>
      <c r="D29" s="658"/>
      <c r="E29" s="659"/>
      <c r="F29" s="657">
        <v>6.8</v>
      </c>
      <c r="G29" s="660">
        <v>5.6</v>
      </c>
      <c r="H29" s="660">
        <v>1.7</v>
      </c>
      <c r="I29" s="660">
        <v>3.8</v>
      </c>
      <c r="J29" s="660">
        <v>3.4</v>
      </c>
      <c r="K29" s="660">
        <v>1.9</v>
      </c>
      <c r="L29" s="660">
        <v>5.0999999999999996</v>
      </c>
      <c r="M29" s="683">
        <v>0.31</v>
      </c>
      <c r="N29" s="686">
        <v>0.37</v>
      </c>
      <c r="O29" s="594"/>
    </row>
    <row r="30" spans="1:23" x14ac:dyDescent="0.3">
      <c r="A30" s="148"/>
      <c r="B30" s="661"/>
      <c r="C30" s="662"/>
      <c r="D30" s="663"/>
      <c r="E30" s="664"/>
      <c r="F30" s="662"/>
      <c r="G30" s="665"/>
      <c r="H30" s="666"/>
      <c r="I30" s="665"/>
      <c r="J30" s="666"/>
      <c r="K30" s="665"/>
      <c r="L30" s="665"/>
      <c r="M30" s="684"/>
      <c r="N30" s="687"/>
      <c r="O30" s="594"/>
    </row>
    <row r="31" spans="1:23" x14ac:dyDescent="0.3">
      <c r="A31" s="134" t="s">
        <v>73</v>
      </c>
      <c r="B31" s="649" t="s">
        <v>59</v>
      </c>
      <c r="C31" s="653"/>
      <c r="D31" s="667"/>
      <c r="E31" s="668"/>
      <c r="F31" s="653">
        <v>5.6</v>
      </c>
      <c r="G31" s="654"/>
      <c r="H31" s="669"/>
      <c r="I31" s="654"/>
      <c r="J31" s="669"/>
      <c r="K31" s="654"/>
      <c r="L31" s="654"/>
      <c r="M31" s="682">
        <v>0.4</v>
      </c>
      <c r="N31" s="638">
        <v>0.31</v>
      </c>
      <c r="O31" s="594"/>
    </row>
    <row r="32" spans="1:23" x14ac:dyDescent="0.3">
      <c r="A32" s="134" t="s">
        <v>74</v>
      </c>
      <c r="B32" s="649" t="s">
        <v>59</v>
      </c>
      <c r="C32" s="653"/>
      <c r="D32" s="667"/>
      <c r="E32" s="668"/>
      <c r="F32" s="653">
        <v>3.5</v>
      </c>
      <c r="G32" s="654"/>
      <c r="H32" s="669"/>
      <c r="I32" s="654"/>
      <c r="J32" s="669"/>
      <c r="K32" s="654"/>
      <c r="L32" s="654"/>
      <c r="M32" s="682">
        <v>0.3</v>
      </c>
      <c r="N32" s="638">
        <v>0.19</v>
      </c>
      <c r="O32" s="594"/>
    </row>
    <row r="33" spans="1:15" x14ac:dyDescent="0.3">
      <c r="A33" s="134" t="s">
        <v>75</v>
      </c>
      <c r="B33" s="649" t="s">
        <v>59</v>
      </c>
      <c r="C33" s="653"/>
      <c r="D33" s="667"/>
      <c r="E33" s="668"/>
      <c r="F33" s="653">
        <v>12</v>
      </c>
      <c r="G33" s="654"/>
      <c r="H33" s="669"/>
      <c r="I33" s="654"/>
      <c r="J33" s="669"/>
      <c r="K33" s="654"/>
      <c r="L33" s="654"/>
      <c r="M33" s="130">
        <v>0.7</v>
      </c>
      <c r="N33" s="638">
        <v>0.54</v>
      </c>
      <c r="O33" s="594"/>
    </row>
    <row r="34" spans="1:15" x14ac:dyDescent="0.3">
      <c r="A34" s="134" t="s">
        <v>268</v>
      </c>
      <c r="B34" s="649" t="s">
        <v>59</v>
      </c>
      <c r="C34" s="653"/>
      <c r="D34" s="667"/>
      <c r="E34" s="668"/>
      <c r="F34" s="653">
        <v>14</v>
      </c>
      <c r="G34" s="654"/>
      <c r="H34" s="669"/>
      <c r="I34" s="654"/>
      <c r="J34" s="669"/>
      <c r="K34" s="654"/>
      <c r="L34" s="654"/>
      <c r="M34" s="130">
        <v>1</v>
      </c>
      <c r="N34" s="638">
        <v>0.69</v>
      </c>
      <c r="O34" s="594"/>
    </row>
    <row r="35" spans="1:15" ht="13.5" thickBot="1" x14ac:dyDescent="0.35">
      <c r="A35" s="144" t="s">
        <v>275</v>
      </c>
      <c r="B35" s="656" t="s">
        <v>59</v>
      </c>
      <c r="C35" s="657"/>
      <c r="D35" s="670"/>
      <c r="E35" s="671"/>
      <c r="F35" s="657">
        <v>10</v>
      </c>
      <c r="G35" s="660"/>
      <c r="H35" s="672"/>
      <c r="I35" s="660"/>
      <c r="J35" s="672"/>
      <c r="K35" s="660"/>
      <c r="L35" s="660"/>
      <c r="M35" s="146">
        <v>0.5</v>
      </c>
      <c r="N35" s="686">
        <v>0.47</v>
      </c>
      <c r="O35" s="594"/>
    </row>
    <row r="36" spans="1:15" x14ac:dyDescent="0.3">
      <c r="A36" s="148"/>
      <c r="B36" s="661"/>
      <c r="C36" s="662"/>
      <c r="D36" s="663"/>
      <c r="E36" s="664"/>
      <c r="F36" s="662"/>
      <c r="G36" s="665"/>
      <c r="H36" s="666"/>
      <c r="I36" s="665"/>
      <c r="J36" s="666"/>
      <c r="K36" s="665"/>
      <c r="L36" s="665"/>
      <c r="M36" s="150"/>
      <c r="N36" s="687"/>
      <c r="O36" s="594"/>
    </row>
    <row r="37" spans="1:15" x14ac:dyDescent="0.3">
      <c r="A37" s="134" t="s">
        <v>271</v>
      </c>
      <c r="B37" s="649" t="s">
        <v>60</v>
      </c>
      <c r="C37" s="653"/>
      <c r="D37" s="651"/>
      <c r="E37" s="652"/>
      <c r="F37" s="653">
        <v>2</v>
      </c>
      <c r="G37" s="654"/>
      <c r="H37" s="669"/>
      <c r="I37" s="654"/>
      <c r="J37" s="669"/>
      <c r="K37" s="654"/>
      <c r="L37" s="654"/>
      <c r="M37" s="130">
        <v>0.2</v>
      </c>
      <c r="N37" s="638">
        <v>0.19</v>
      </c>
      <c r="O37" s="594"/>
    </row>
    <row r="38" spans="1:15" x14ac:dyDescent="0.3">
      <c r="A38" s="134" t="s">
        <v>270</v>
      </c>
      <c r="B38" s="649" t="s">
        <v>60</v>
      </c>
      <c r="C38" s="653"/>
      <c r="D38" s="651"/>
      <c r="E38" s="652"/>
      <c r="F38" s="653">
        <v>1.7</v>
      </c>
      <c r="G38" s="654"/>
      <c r="H38" s="669"/>
      <c r="I38" s="654"/>
      <c r="J38" s="669"/>
      <c r="K38" s="654"/>
      <c r="L38" s="654"/>
      <c r="M38" s="130">
        <v>0.17</v>
      </c>
      <c r="N38" s="639">
        <v>0.15</v>
      </c>
    </row>
    <row r="39" spans="1:15" x14ac:dyDescent="0.3">
      <c r="A39" s="134" t="s">
        <v>269</v>
      </c>
      <c r="B39" s="649" t="s">
        <v>60</v>
      </c>
      <c r="C39" s="653"/>
      <c r="D39" s="651"/>
      <c r="E39" s="652"/>
      <c r="F39" s="653">
        <v>2.2999999999999998</v>
      </c>
      <c r="G39" s="654"/>
      <c r="H39" s="669"/>
      <c r="I39" s="654"/>
      <c r="J39" s="669"/>
      <c r="K39" s="654"/>
      <c r="L39" s="654"/>
      <c r="M39" s="130">
        <v>0.25</v>
      </c>
      <c r="N39" s="639">
        <v>0.22</v>
      </c>
    </row>
    <row r="40" spans="1:15" x14ac:dyDescent="0.3">
      <c r="A40" s="156" t="s">
        <v>276</v>
      </c>
      <c r="B40" s="649" t="s">
        <v>60</v>
      </c>
      <c r="C40" s="653"/>
      <c r="D40" s="651"/>
      <c r="E40" s="652"/>
      <c r="F40" s="673">
        <v>1.7</v>
      </c>
      <c r="G40" s="654"/>
      <c r="H40" s="669"/>
      <c r="I40" s="654"/>
      <c r="J40" s="669"/>
      <c r="K40" s="654"/>
      <c r="L40" s="654"/>
      <c r="M40" s="130">
        <v>0.17</v>
      </c>
      <c r="N40" s="639">
        <v>0.16</v>
      </c>
    </row>
    <row r="41" spans="1:15" ht="13.5" thickBot="1" x14ac:dyDescent="0.35">
      <c r="A41" s="156" t="s">
        <v>202</v>
      </c>
      <c r="B41" s="649" t="s">
        <v>59</v>
      </c>
      <c r="C41" s="653"/>
      <c r="D41" s="651"/>
      <c r="E41" s="652"/>
      <c r="F41" s="653">
        <v>0.3</v>
      </c>
      <c r="G41" s="654"/>
      <c r="H41" s="669"/>
      <c r="I41" s="654"/>
      <c r="J41" s="669"/>
      <c r="K41" s="654"/>
      <c r="L41" s="654"/>
      <c r="M41" s="130">
        <v>0.03</v>
      </c>
      <c r="N41" s="640">
        <v>0.02</v>
      </c>
    </row>
    <row r="42" spans="1:15" x14ac:dyDescent="0.3">
      <c r="A42" s="148"/>
      <c r="B42" s="661"/>
      <c r="C42" s="662"/>
      <c r="D42" s="663"/>
      <c r="E42" s="664"/>
      <c r="F42" s="662"/>
      <c r="G42" s="665"/>
      <c r="H42" s="666"/>
      <c r="I42" s="665"/>
      <c r="J42" s="666"/>
      <c r="K42" s="665"/>
      <c r="L42" s="665"/>
      <c r="M42" s="150"/>
      <c r="N42" s="687"/>
      <c r="O42" s="594"/>
    </row>
    <row r="43" spans="1:15" ht="12.5" x14ac:dyDescent="0.25">
      <c r="A43" s="134" t="s">
        <v>277</v>
      </c>
      <c r="B43" s="649" t="s">
        <v>60</v>
      </c>
      <c r="C43" s="653">
        <v>1.6</v>
      </c>
      <c r="D43" s="651"/>
      <c r="E43" s="652"/>
      <c r="F43" s="653">
        <v>1.2</v>
      </c>
      <c r="G43" s="654">
        <v>1.2</v>
      </c>
      <c r="H43" s="654">
        <v>0.3</v>
      </c>
      <c r="I43" s="654">
        <v>0.8</v>
      </c>
      <c r="J43" s="654">
        <v>0.6</v>
      </c>
      <c r="K43" s="654">
        <v>0.4</v>
      </c>
      <c r="L43" s="654">
        <v>0.9</v>
      </c>
      <c r="M43" s="130">
        <v>0.17</v>
      </c>
      <c r="N43" s="639">
        <v>0.14000000000000001</v>
      </c>
      <c r="O43" s="594"/>
    </row>
    <row r="44" spans="1:15" ht="12.5" x14ac:dyDescent="0.25">
      <c r="A44" s="134" t="s">
        <v>76</v>
      </c>
      <c r="B44" s="649" t="s">
        <v>60</v>
      </c>
      <c r="C44" s="653">
        <v>7.5</v>
      </c>
      <c r="D44" s="651"/>
      <c r="E44" s="652"/>
      <c r="F44" s="653">
        <v>4.2</v>
      </c>
      <c r="G44" s="654">
        <v>5.6</v>
      </c>
      <c r="H44" s="654">
        <v>1.1000000000000001</v>
      </c>
      <c r="I44" s="654">
        <v>3.8</v>
      </c>
      <c r="J44" s="654">
        <v>2.1</v>
      </c>
      <c r="K44" s="654">
        <v>1.9</v>
      </c>
      <c r="L44" s="654">
        <v>3.2</v>
      </c>
      <c r="M44" s="130">
        <v>0.45</v>
      </c>
      <c r="N44" s="639">
        <v>0.51</v>
      </c>
      <c r="O44" s="594"/>
    </row>
    <row r="45" spans="1:15" ht="12.5" x14ac:dyDescent="0.25">
      <c r="A45" s="134" t="s">
        <v>278</v>
      </c>
      <c r="B45" s="649" t="s">
        <v>60</v>
      </c>
      <c r="C45" s="653">
        <v>5.5</v>
      </c>
      <c r="D45" s="651"/>
      <c r="E45" s="652"/>
      <c r="F45" s="653">
        <v>2.2999999999999998</v>
      </c>
      <c r="G45" s="654">
        <v>4.0999999999999996</v>
      </c>
      <c r="H45" s="654">
        <v>0.6</v>
      </c>
      <c r="I45" s="654">
        <v>2.8</v>
      </c>
      <c r="J45" s="654">
        <v>1.2</v>
      </c>
      <c r="K45" s="654">
        <v>1.4</v>
      </c>
      <c r="L45" s="654">
        <v>1.7</v>
      </c>
      <c r="M45" s="130">
        <v>0.26</v>
      </c>
      <c r="N45" s="639">
        <v>0.33</v>
      </c>
      <c r="O45" s="594"/>
    </row>
    <row r="46" spans="1:15" ht="12.5" x14ac:dyDescent="0.25">
      <c r="A46" s="134" t="s">
        <v>279</v>
      </c>
      <c r="B46" s="649" t="s">
        <v>60</v>
      </c>
      <c r="C46" s="653">
        <v>0.6</v>
      </c>
      <c r="D46" s="651"/>
      <c r="E46" s="652"/>
      <c r="F46" s="653">
        <v>0.3</v>
      </c>
      <c r="G46" s="654">
        <v>0.5</v>
      </c>
      <c r="H46" s="654">
        <v>0.1</v>
      </c>
      <c r="I46" s="654">
        <v>0.3</v>
      </c>
      <c r="J46" s="654">
        <v>0.2</v>
      </c>
      <c r="K46" s="654">
        <v>0.2</v>
      </c>
      <c r="L46" s="654">
        <v>0.2</v>
      </c>
      <c r="M46" s="130">
        <v>0.06</v>
      </c>
      <c r="N46" s="639">
        <v>0.04</v>
      </c>
      <c r="O46" s="594"/>
    </row>
    <row r="47" spans="1:15" ht="12.5" x14ac:dyDescent="0.25">
      <c r="A47" s="134" t="s">
        <v>101</v>
      </c>
      <c r="B47" s="649" t="s">
        <v>60</v>
      </c>
      <c r="C47" s="653">
        <v>8.1999999999999993</v>
      </c>
      <c r="D47" s="651"/>
      <c r="E47" s="652"/>
      <c r="F47" s="653">
        <v>3.5</v>
      </c>
      <c r="G47" s="654">
        <v>6.2</v>
      </c>
      <c r="H47" s="654">
        <v>0.9</v>
      </c>
      <c r="I47" s="654">
        <v>4.0999999999999996</v>
      </c>
      <c r="J47" s="654">
        <v>1.8</v>
      </c>
      <c r="K47" s="654">
        <v>2.1</v>
      </c>
      <c r="L47" s="654">
        <v>2.6</v>
      </c>
      <c r="M47" s="130">
        <v>0.55000000000000004</v>
      </c>
      <c r="N47" s="639">
        <v>0.56000000000000005</v>
      </c>
      <c r="O47" s="594"/>
    </row>
    <row r="48" spans="1:15" thickBot="1" x14ac:dyDescent="0.3">
      <c r="A48" s="144" t="s">
        <v>9</v>
      </c>
      <c r="B48" s="656" t="s">
        <v>59</v>
      </c>
      <c r="C48" s="657">
        <v>4.2</v>
      </c>
      <c r="D48" s="658"/>
      <c r="E48" s="674"/>
      <c r="F48" s="657">
        <v>2.2999999999999998</v>
      </c>
      <c r="G48" s="675">
        <v>3.2</v>
      </c>
      <c r="H48" s="660">
        <v>0.6</v>
      </c>
      <c r="I48" s="660">
        <v>2.1</v>
      </c>
      <c r="J48" s="660">
        <v>1.2</v>
      </c>
      <c r="K48" s="675">
        <v>1.1000000000000001</v>
      </c>
      <c r="L48" s="660">
        <v>1.8</v>
      </c>
      <c r="M48" s="146">
        <v>0.25</v>
      </c>
      <c r="N48" s="640">
        <v>0.23</v>
      </c>
      <c r="O48" s="594"/>
    </row>
    <row r="49" spans="1:15" x14ac:dyDescent="0.3">
      <c r="A49" s="148"/>
      <c r="B49" s="661"/>
      <c r="C49" s="662"/>
      <c r="D49" s="663"/>
      <c r="E49" s="664"/>
      <c r="F49" s="662"/>
      <c r="G49" s="676"/>
      <c r="H49" s="677"/>
      <c r="I49" s="665"/>
      <c r="J49" s="666"/>
      <c r="K49" s="665"/>
      <c r="L49" s="666"/>
      <c r="M49" s="150"/>
      <c r="N49" s="687"/>
      <c r="O49" s="594"/>
    </row>
    <row r="50" spans="1:15" x14ac:dyDescent="0.3">
      <c r="A50" s="134"/>
      <c r="B50" s="649"/>
      <c r="C50" s="678" t="s">
        <v>62</v>
      </c>
      <c r="D50" s="1050" t="s">
        <v>63</v>
      </c>
      <c r="E50" s="1051"/>
      <c r="F50" s="678" t="s">
        <v>175</v>
      </c>
      <c r="G50" s="1057" t="s">
        <v>176</v>
      </c>
      <c r="H50" s="1058"/>
      <c r="I50" s="654"/>
      <c r="J50" s="669"/>
      <c r="K50" s="654"/>
      <c r="L50" s="669"/>
      <c r="M50" s="130"/>
      <c r="N50" s="638"/>
      <c r="O50" s="594"/>
    </row>
    <row r="51" spans="1:15" x14ac:dyDescent="0.3">
      <c r="A51" s="134"/>
      <c r="B51" s="649"/>
      <c r="C51" s="669" t="s">
        <v>58</v>
      </c>
      <c r="D51" s="1059" t="s">
        <v>58</v>
      </c>
      <c r="E51" s="1060"/>
      <c r="F51" s="679" t="s">
        <v>57</v>
      </c>
      <c r="G51" s="1087" t="s">
        <v>57</v>
      </c>
      <c r="H51" s="1053"/>
      <c r="I51" s="654"/>
      <c r="J51" s="669"/>
      <c r="K51" s="654"/>
      <c r="L51" s="669"/>
      <c r="M51" s="130"/>
      <c r="N51" s="638"/>
      <c r="O51" s="594"/>
    </row>
    <row r="52" spans="1:15" x14ac:dyDescent="0.3">
      <c r="A52" s="134" t="s">
        <v>25</v>
      </c>
      <c r="B52" s="649" t="s">
        <v>64</v>
      </c>
      <c r="C52" s="653">
        <v>2.7</v>
      </c>
      <c r="D52" s="1052">
        <v>1.5</v>
      </c>
      <c r="E52" s="1053"/>
      <c r="F52" s="680">
        <v>2.7</v>
      </c>
      <c r="G52" s="1088">
        <v>1.5</v>
      </c>
      <c r="H52" s="1053"/>
      <c r="I52" s="654"/>
      <c r="J52" s="669"/>
      <c r="K52" s="654"/>
      <c r="L52" s="669"/>
      <c r="M52" s="130">
        <v>1</v>
      </c>
      <c r="N52" s="639">
        <v>1.04</v>
      </c>
    </row>
    <row r="53" spans="1:15" x14ac:dyDescent="0.3">
      <c r="A53" s="134" t="s">
        <v>65</v>
      </c>
      <c r="B53" s="649" t="s">
        <v>64</v>
      </c>
      <c r="C53" s="653">
        <v>1</v>
      </c>
      <c r="D53" s="1052">
        <v>0.6</v>
      </c>
      <c r="E53" s="1053"/>
      <c r="F53" s="680">
        <v>1</v>
      </c>
      <c r="G53" s="1088">
        <v>0.6</v>
      </c>
      <c r="H53" s="1053"/>
      <c r="I53" s="654"/>
      <c r="J53" s="669"/>
      <c r="K53" s="654"/>
      <c r="L53" s="669"/>
      <c r="M53" s="130">
        <v>0.4</v>
      </c>
      <c r="N53" s="639">
        <v>0.39</v>
      </c>
    </row>
    <row r="54" spans="1:15" x14ac:dyDescent="0.3">
      <c r="A54" s="134" t="s">
        <v>11</v>
      </c>
      <c r="B54" s="125" t="s">
        <v>64</v>
      </c>
      <c r="C54" s="130"/>
      <c r="D54" s="1043">
        <v>0.8</v>
      </c>
      <c r="E54" s="1054"/>
      <c r="F54" s="157"/>
      <c r="G54" s="1067">
        <v>0.8</v>
      </c>
      <c r="H54" s="1054"/>
      <c r="I54" s="133"/>
      <c r="J54" s="129"/>
      <c r="K54" s="133"/>
      <c r="L54" s="129"/>
      <c r="M54" s="130">
        <v>0.4</v>
      </c>
      <c r="N54" s="639">
        <v>0.36</v>
      </c>
    </row>
    <row r="55" spans="1:15" ht="13.5" thickBot="1" x14ac:dyDescent="0.35">
      <c r="A55" s="144" t="s">
        <v>66</v>
      </c>
      <c r="B55" s="145" t="s">
        <v>64</v>
      </c>
      <c r="C55" s="146"/>
      <c r="D55" s="1055">
        <v>3</v>
      </c>
      <c r="E55" s="1056"/>
      <c r="F55" s="159"/>
      <c r="G55" s="1066">
        <v>3</v>
      </c>
      <c r="H55" s="1056"/>
      <c r="I55" s="147"/>
      <c r="J55" s="155"/>
      <c r="K55" s="147"/>
      <c r="L55" s="155"/>
      <c r="M55" s="146">
        <v>1.5</v>
      </c>
      <c r="N55" s="640">
        <v>1.67</v>
      </c>
    </row>
    <row r="56" spans="1:15" x14ac:dyDescent="0.3">
      <c r="A56" s="148"/>
      <c r="B56" s="149"/>
      <c r="C56" s="150"/>
      <c r="D56" s="151"/>
      <c r="E56" s="152"/>
      <c r="F56" s="150"/>
      <c r="G56" s="160"/>
      <c r="H56" s="161"/>
      <c r="I56" s="153"/>
      <c r="J56" s="154"/>
      <c r="K56" s="153"/>
      <c r="L56" s="154"/>
      <c r="M56" s="150"/>
      <c r="N56" s="687"/>
    </row>
    <row r="57" spans="1:15" x14ac:dyDescent="0.3">
      <c r="A57" s="162" t="s">
        <v>85</v>
      </c>
      <c r="B57" s="125" t="s">
        <v>60</v>
      </c>
      <c r="C57" s="130"/>
      <c r="D57" s="131"/>
      <c r="E57" s="132"/>
      <c r="F57" s="130">
        <v>9.6</v>
      </c>
      <c r="G57" s="163"/>
      <c r="H57" s="164"/>
      <c r="I57" s="133"/>
      <c r="J57" s="129"/>
      <c r="K57" s="133"/>
      <c r="L57" s="129"/>
      <c r="M57" s="130">
        <v>0.8</v>
      </c>
      <c r="N57" s="638">
        <v>0.71</v>
      </c>
    </row>
    <row r="58" spans="1:15" x14ac:dyDescent="0.3">
      <c r="A58" s="134" t="s">
        <v>86</v>
      </c>
      <c r="B58" s="125" t="s">
        <v>60</v>
      </c>
      <c r="C58" s="130"/>
      <c r="D58" s="131"/>
      <c r="E58" s="132"/>
      <c r="F58" s="130">
        <v>4.4000000000000004</v>
      </c>
      <c r="G58" s="163"/>
      <c r="H58" s="164"/>
      <c r="I58" s="133"/>
      <c r="J58" s="129"/>
      <c r="K58" s="133"/>
      <c r="L58" s="129"/>
      <c r="M58" s="130">
        <v>0.4</v>
      </c>
      <c r="N58" s="638">
        <v>0.24</v>
      </c>
    </row>
    <row r="59" spans="1:15" x14ac:dyDescent="0.3">
      <c r="A59" s="134" t="s">
        <v>87</v>
      </c>
      <c r="B59" s="125" t="s">
        <v>60</v>
      </c>
      <c r="C59" s="130"/>
      <c r="D59" s="131"/>
      <c r="E59" s="132"/>
      <c r="F59" s="130">
        <v>1.6</v>
      </c>
      <c r="G59" s="163"/>
      <c r="H59" s="164"/>
      <c r="I59" s="133"/>
      <c r="J59" s="129"/>
      <c r="K59" s="133"/>
      <c r="L59" s="129"/>
      <c r="M59" s="130">
        <v>0.1</v>
      </c>
      <c r="N59" s="638">
        <v>0.1</v>
      </c>
    </row>
    <row r="60" spans="1:15" x14ac:dyDescent="0.3">
      <c r="A60" s="156" t="s">
        <v>80</v>
      </c>
      <c r="B60" s="125" t="s">
        <v>60</v>
      </c>
      <c r="C60" s="130"/>
      <c r="D60" s="131"/>
      <c r="E60" s="132"/>
      <c r="F60" s="130">
        <v>1.6</v>
      </c>
      <c r="G60" s="163"/>
      <c r="H60" s="164"/>
      <c r="I60" s="133"/>
      <c r="J60" s="129"/>
      <c r="K60" s="133"/>
      <c r="L60" s="129"/>
      <c r="M60" s="634">
        <v>0.2</v>
      </c>
      <c r="N60" s="638">
        <v>0.2</v>
      </c>
    </row>
    <row r="61" spans="1:15" x14ac:dyDescent="0.3">
      <c r="A61" s="156" t="s">
        <v>81</v>
      </c>
      <c r="B61" s="125" t="s">
        <v>60</v>
      </c>
      <c r="C61" s="130"/>
      <c r="D61" s="131"/>
      <c r="E61" s="132"/>
      <c r="F61" s="130">
        <v>1.6</v>
      </c>
      <c r="G61" s="163"/>
      <c r="H61" s="164"/>
      <c r="I61" s="133"/>
      <c r="J61" s="129"/>
      <c r="K61" s="133"/>
      <c r="L61" s="129"/>
      <c r="M61" s="634">
        <v>0.17</v>
      </c>
      <c r="N61" s="638">
        <v>0.17</v>
      </c>
    </row>
    <row r="62" spans="1:15" x14ac:dyDescent="0.3">
      <c r="A62" s="156" t="s">
        <v>82</v>
      </c>
      <c r="B62" s="125" t="s">
        <v>60</v>
      </c>
      <c r="C62" s="130"/>
      <c r="D62" s="131"/>
      <c r="E62" s="132"/>
      <c r="F62" s="130">
        <v>1.6</v>
      </c>
      <c r="G62" s="163"/>
      <c r="H62" s="164"/>
      <c r="I62" s="133"/>
      <c r="J62" s="129"/>
      <c r="K62" s="133"/>
      <c r="L62" s="129"/>
      <c r="M62" s="634">
        <v>0.11</v>
      </c>
      <c r="N62" s="638">
        <v>0.11</v>
      </c>
    </row>
    <row r="63" spans="1:15" x14ac:dyDescent="0.3">
      <c r="A63" s="156" t="s">
        <v>83</v>
      </c>
      <c r="B63" s="125" t="s">
        <v>60</v>
      </c>
      <c r="C63" s="130"/>
      <c r="D63" s="131"/>
      <c r="E63" s="132"/>
      <c r="F63" s="130">
        <v>1.6</v>
      </c>
      <c r="G63" s="163"/>
      <c r="H63" s="164"/>
      <c r="I63" s="133"/>
      <c r="J63" s="129"/>
      <c r="K63" s="133"/>
      <c r="L63" s="129"/>
      <c r="M63" s="634">
        <v>0.11</v>
      </c>
      <c r="N63" s="638">
        <v>0.11</v>
      </c>
    </row>
    <row r="64" spans="1:15" ht="13.5" thickBot="1" x14ac:dyDescent="0.35">
      <c r="A64" s="165" t="s">
        <v>84</v>
      </c>
      <c r="B64" s="145" t="s">
        <v>60</v>
      </c>
      <c r="C64" s="146"/>
      <c r="D64" s="117"/>
      <c r="E64" s="118"/>
      <c r="F64" s="146">
        <v>1.6</v>
      </c>
      <c r="G64" s="166"/>
      <c r="H64" s="167"/>
      <c r="I64" s="147"/>
      <c r="J64" s="155"/>
      <c r="K64" s="147"/>
      <c r="L64" s="155"/>
      <c r="M64" s="635">
        <v>7.0000000000000007E-2</v>
      </c>
      <c r="N64" s="686">
        <v>7.0000000000000007E-2</v>
      </c>
    </row>
    <row r="65" spans="1:14" x14ac:dyDescent="0.3">
      <c r="A65" s="168"/>
      <c r="B65" s="149"/>
      <c r="C65" s="150"/>
      <c r="D65" s="151"/>
      <c r="E65" s="152"/>
      <c r="F65" s="150"/>
      <c r="G65" s="160"/>
      <c r="H65" s="161"/>
      <c r="I65" s="153"/>
      <c r="J65" s="154"/>
      <c r="K65" s="153"/>
      <c r="L65" s="154"/>
      <c r="M65" s="636"/>
      <c r="N65" s="687"/>
    </row>
    <row r="66" spans="1:14" x14ac:dyDescent="0.3">
      <c r="A66" s="134"/>
      <c r="B66" s="125"/>
      <c r="C66" s="130"/>
      <c r="D66" s="131"/>
      <c r="E66" s="132"/>
      <c r="F66" s="130"/>
      <c r="G66" s="1061" t="s">
        <v>196</v>
      </c>
      <c r="H66" s="1062"/>
      <c r="I66" s="133"/>
      <c r="J66" s="129"/>
      <c r="K66" s="133"/>
      <c r="L66" s="129"/>
      <c r="M66" s="130"/>
      <c r="N66" s="638"/>
    </row>
    <row r="67" spans="1:14" x14ac:dyDescent="0.3">
      <c r="A67" s="134"/>
      <c r="B67" s="125"/>
      <c r="C67" s="130"/>
      <c r="D67" s="131"/>
      <c r="E67" s="132"/>
      <c r="F67" s="130"/>
      <c r="G67" s="1041" t="s">
        <v>57</v>
      </c>
      <c r="H67" s="1065"/>
      <c r="I67" s="133"/>
      <c r="J67" s="129"/>
      <c r="K67" s="133"/>
      <c r="L67" s="129"/>
      <c r="M67" s="130"/>
      <c r="N67" s="638"/>
    </row>
    <row r="68" spans="1:14" ht="14.25" customHeight="1" x14ac:dyDescent="0.3">
      <c r="A68" s="169" t="s">
        <v>191</v>
      </c>
      <c r="B68" s="125" t="s">
        <v>64</v>
      </c>
      <c r="C68" s="130"/>
      <c r="D68" s="131"/>
      <c r="E68" s="132"/>
      <c r="F68" s="157">
        <v>16</v>
      </c>
      <c r="G68" s="1063">
        <v>16</v>
      </c>
      <c r="H68" s="1064"/>
      <c r="I68" s="133"/>
      <c r="J68" s="129"/>
      <c r="K68" s="133"/>
      <c r="L68" s="129"/>
      <c r="M68" s="634">
        <v>3.4</v>
      </c>
      <c r="N68" s="638">
        <v>3.38</v>
      </c>
    </row>
    <row r="69" spans="1:14" ht="13.5" customHeight="1" thickBot="1" x14ac:dyDescent="0.35">
      <c r="A69" s="170" t="s">
        <v>192</v>
      </c>
      <c r="B69" s="171" t="s">
        <v>64</v>
      </c>
      <c r="C69" s="172"/>
      <c r="D69" s="173"/>
      <c r="E69" s="174"/>
      <c r="F69" s="175">
        <v>2.8</v>
      </c>
      <c r="G69" s="1048">
        <v>2.8</v>
      </c>
      <c r="H69" s="1049"/>
      <c r="I69" s="176"/>
      <c r="J69" s="177"/>
      <c r="K69" s="176"/>
      <c r="L69" s="177"/>
      <c r="M69" s="637">
        <v>1.1000000000000001</v>
      </c>
      <c r="N69" s="686">
        <v>1.06</v>
      </c>
    </row>
    <row r="70" spans="1:14" x14ac:dyDescent="0.3">
      <c r="A70" s="178"/>
      <c r="F70" s="179"/>
      <c r="H70" s="114"/>
      <c r="M70" s="180"/>
    </row>
    <row r="71" spans="1:14" x14ac:dyDescent="0.3">
      <c r="A71" s="178"/>
      <c r="F71" s="179"/>
      <c r="H71" s="114"/>
      <c r="M71" s="180"/>
    </row>
    <row r="72" spans="1:14" x14ac:dyDescent="0.3">
      <c r="K72" s="1068" t="str">
        <f>K1</f>
        <v xml:space="preserve">Koordination 
Landwirtschaft / Umweltschutz
Anhang (Stand Juni 2019)
</v>
      </c>
      <c r="L72" s="1068"/>
      <c r="M72" s="1068"/>
    </row>
    <row r="73" spans="1:14" x14ac:dyDescent="0.3">
      <c r="K73" s="1068"/>
      <c r="L73" s="1068"/>
      <c r="M73" s="1068"/>
    </row>
    <row r="74" spans="1:14" x14ac:dyDescent="0.3">
      <c r="K74" s="1068"/>
      <c r="L74" s="1068"/>
      <c r="M74" s="1068"/>
    </row>
    <row r="75" spans="1:14" x14ac:dyDescent="0.3">
      <c r="K75" s="1068"/>
      <c r="L75" s="1068"/>
      <c r="M75" s="1068"/>
    </row>
    <row r="76" spans="1:14" x14ac:dyDescent="0.3">
      <c r="K76" s="1068"/>
      <c r="L76" s="1068"/>
      <c r="M76" s="1068"/>
    </row>
    <row r="77" spans="1:14" ht="13.5" thickBot="1" x14ac:dyDescent="0.35"/>
    <row r="78" spans="1:14" thickBot="1" x14ac:dyDescent="0.3">
      <c r="A78" s="181" t="s">
        <v>242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3"/>
    </row>
    <row r="79" spans="1:14" x14ac:dyDescent="0.3">
      <c r="A79" s="184"/>
      <c r="B79" s="150"/>
      <c r="C79" s="185" t="s">
        <v>77</v>
      </c>
      <c r="D79" s="186"/>
      <c r="E79" s="187"/>
      <c r="F79" s="187"/>
      <c r="G79" s="188"/>
      <c r="H79" s="189"/>
      <c r="I79" s="188"/>
      <c r="J79" s="189"/>
      <c r="K79" s="188"/>
      <c r="L79" s="189"/>
      <c r="M79" s="190"/>
    </row>
    <row r="80" spans="1:14" x14ac:dyDescent="0.3">
      <c r="A80" s="191" t="s">
        <v>5</v>
      </c>
      <c r="B80" s="130"/>
      <c r="C80" s="130"/>
      <c r="D80" s="120"/>
      <c r="M80" s="192"/>
    </row>
    <row r="81" spans="1:13" x14ac:dyDescent="0.3">
      <c r="A81" s="134" t="s">
        <v>193</v>
      </c>
      <c r="B81" s="130" t="s">
        <v>42</v>
      </c>
      <c r="C81" s="130">
        <v>2.4</v>
      </c>
      <c r="D81" s="193"/>
      <c r="M81" s="192"/>
    </row>
    <row r="82" spans="1:13" x14ac:dyDescent="0.3">
      <c r="A82" s="194"/>
      <c r="B82" s="130"/>
      <c r="C82" s="130"/>
      <c r="D82" s="195"/>
      <c r="M82" s="192"/>
    </row>
    <row r="83" spans="1:13" x14ac:dyDescent="0.3">
      <c r="A83" s="191" t="s">
        <v>8</v>
      </c>
      <c r="B83" s="130"/>
      <c r="C83" s="130"/>
      <c r="D83" s="120"/>
      <c r="M83" s="192"/>
    </row>
    <row r="84" spans="1:13" x14ac:dyDescent="0.3">
      <c r="A84" s="134" t="s">
        <v>43</v>
      </c>
      <c r="B84" s="130" t="s">
        <v>44</v>
      </c>
      <c r="C84" s="130">
        <v>0.5</v>
      </c>
      <c r="D84" s="120"/>
      <c r="M84" s="192"/>
    </row>
    <row r="85" spans="1:13" x14ac:dyDescent="0.3">
      <c r="A85" s="134"/>
      <c r="B85" s="130"/>
      <c r="C85" s="130"/>
      <c r="D85" s="120"/>
      <c r="M85" s="192"/>
    </row>
    <row r="86" spans="1:13" x14ac:dyDescent="0.3">
      <c r="A86" s="191" t="s">
        <v>10</v>
      </c>
      <c r="B86" s="130"/>
      <c r="C86" s="130"/>
      <c r="D86" s="120"/>
      <c r="M86" s="192"/>
    </row>
    <row r="87" spans="1:13" x14ac:dyDescent="0.3">
      <c r="A87" s="134" t="s">
        <v>45</v>
      </c>
      <c r="B87" s="130" t="s">
        <v>47</v>
      </c>
      <c r="C87" s="682">
        <v>0.25</v>
      </c>
      <c r="D87" s="127"/>
      <c r="E87" s="196"/>
      <c r="M87" s="192"/>
    </row>
    <row r="88" spans="1:13" x14ac:dyDescent="0.3">
      <c r="A88" s="134" t="s">
        <v>46</v>
      </c>
      <c r="B88" s="130" t="s">
        <v>100</v>
      </c>
      <c r="C88" s="682">
        <v>0.5</v>
      </c>
      <c r="D88" s="1035" t="s">
        <v>194</v>
      </c>
      <c r="E88" s="1036"/>
      <c r="F88" s="120"/>
      <c r="M88" s="192"/>
    </row>
    <row r="89" spans="1:13" x14ac:dyDescent="0.3">
      <c r="A89" s="134"/>
      <c r="B89" s="130"/>
      <c r="C89" s="682"/>
      <c r="D89" s="197"/>
      <c r="E89" s="198"/>
      <c r="M89" s="192"/>
    </row>
    <row r="90" spans="1:13" x14ac:dyDescent="0.3">
      <c r="A90" s="191" t="s">
        <v>6</v>
      </c>
      <c r="C90" s="685"/>
      <c r="D90" s="199"/>
      <c r="E90" s="200"/>
      <c r="M90" s="192"/>
    </row>
    <row r="91" spans="1:13" x14ac:dyDescent="0.3">
      <c r="A91" s="134" t="s">
        <v>239</v>
      </c>
      <c r="B91" s="130" t="s">
        <v>42</v>
      </c>
      <c r="C91" s="682">
        <v>2.4</v>
      </c>
      <c r="D91" s="199"/>
      <c r="E91" s="200"/>
      <c r="M91" s="192"/>
    </row>
    <row r="92" spans="1:13" x14ac:dyDescent="0.3">
      <c r="A92" s="134"/>
      <c r="B92" s="130"/>
      <c r="C92" s="682"/>
      <c r="D92" s="199"/>
      <c r="E92" s="200"/>
      <c r="M92" s="192"/>
    </row>
    <row r="93" spans="1:13" x14ac:dyDescent="0.3">
      <c r="A93" s="191" t="s">
        <v>222</v>
      </c>
      <c r="B93" s="130"/>
      <c r="C93" s="682"/>
      <c r="D93" s="199"/>
      <c r="E93" s="200"/>
      <c r="M93" s="192"/>
    </row>
    <row r="94" spans="1:13" x14ac:dyDescent="0.3">
      <c r="A94" s="134" t="s">
        <v>197</v>
      </c>
      <c r="B94" s="130" t="s">
        <v>42</v>
      </c>
      <c r="C94" s="682">
        <v>0.25</v>
      </c>
      <c r="D94" s="199"/>
      <c r="E94" s="200"/>
      <c r="M94" s="192"/>
    </row>
    <row r="95" spans="1:13" x14ac:dyDescent="0.3">
      <c r="A95" s="134"/>
      <c r="B95" s="130"/>
      <c r="C95" s="682"/>
      <c r="D95" s="199"/>
      <c r="E95" s="200"/>
      <c r="M95" s="192"/>
    </row>
    <row r="96" spans="1:13" x14ac:dyDescent="0.3">
      <c r="A96" s="191" t="s">
        <v>26</v>
      </c>
      <c r="B96" s="130"/>
      <c r="C96" s="682"/>
      <c r="D96" s="120"/>
      <c r="M96" s="192"/>
    </row>
    <row r="97" spans="1:13" x14ac:dyDescent="0.3">
      <c r="A97" s="134" t="s">
        <v>197</v>
      </c>
      <c r="B97" s="130" t="s">
        <v>42</v>
      </c>
      <c r="C97" s="682">
        <v>0.25</v>
      </c>
      <c r="D97" s="120"/>
      <c r="M97" s="192"/>
    </row>
    <row r="98" spans="1:13" x14ac:dyDescent="0.3">
      <c r="A98" s="134"/>
      <c r="B98" s="130"/>
      <c r="C98" s="130"/>
      <c r="D98" s="120"/>
      <c r="M98" s="192"/>
    </row>
    <row r="99" spans="1:13" x14ac:dyDescent="0.3">
      <c r="A99" s="191" t="s">
        <v>48</v>
      </c>
      <c r="C99" s="489" t="s">
        <v>243</v>
      </c>
      <c r="D99" s="490" t="s">
        <v>244</v>
      </c>
      <c r="E99" s="1037" t="s">
        <v>245</v>
      </c>
      <c r="F99" s="1038"/>
      <c r="G99" s="202"/>
      <c r="M99" s="192"/>
    </row>
    <row r="100" spans="1:13" ht="15" x14ac:dyDescent="0.3">
      <c r="A100" s="134" t="s">
        <v>161</v>
      </c>
      <c r="B100" s="203" t="s">
        <v>283</v>
      </c>
      <c r="C100" s="131">
        <v>1</v>
      </c>
      <c r="D100" s="201">
        <v>1.2</v>
      </c>
      <c r="E100" s="203"/>
      <c r="F100" s="203"/>
      <c r="G100" s="202"/>
      <c r="M100" s="192"/>
    </row>
    <row r="101" spans="1:13" ht="15" x14ac:dyDescent="0.3">
      <c r="A101" s="204" t="s">
        <v>118</v>
      </c>
      <c r="B101" s="205" t="s">
        <v>284</v>
      </c>
      <c r="C101" s="158">
        <v>0.33</v>
      </c>
      <c r="D101" s="201">
        <v>0.4</v>
      </c>
      <c r="E101" s="203"/>
      <c r="F101" s="203"/>
      <c r="G101" s="202"/>
      <c r="M101" s="192"/>
    </row>
    <row r="102" spans="1:13" x14ac:dyDescent="0.3">
      <c r="A102" s="134"/>
      <c r="B102" s="130"/>
      <c r="C102" s="130"/>
      <c r="D102" s="117"/>
      <c r="E102" s="206"/>
      <c r="F102" s="206"/>
      <c r="M102" s="192"/>
    </row>
    <row r="103" spans="1:13" x14ac:dyDescent="0.3">
      <c r="A103" s="191" t="s">
        <v>113</v>
      </c>
      <c r="B103" s="130"/>
      <c r="C103" s="130"/>
      <c r="D103" s="1041" t="s">
        <v>286</v>
      </c>
      <c r="E103" s="1040"/>
      <c r="F103" s="207"/>
      <c r="M103" s="192"/>
    </row>
    <row r="104" spans="1:13" ht="14.5" x14ac:dyDescent="0.3">
      <c r="A104" s="204" t="s">
        <v>14</v>
      </c>
      <c r="B104" s="491" t="s">
        <v>285</v>
      </c>
      <c r="C104" s="493">
        <v>6</v>
      </c>
      <c r="D104" s="1042">
        <v>0.6</v>
      </c>
      <c r="E104" s="1040"/>
      <c r="M104" s="192"/>
    </row>
    <row r="105" spans="1:13" ht="14.5" x14ac:dyDescent="0.3">
      <c r="A105" s="204" t="s">
        <v>15</v>
      </c>
      <c r="B105" s="491" t="s">
        <v>285</v>
      </c>
      <c r="C105" s="493">
        <v>1.7999999999999999E-2</v>
      </c>
      <c r="D105" s="1043"/>
      <c r="E105" s="1044"/>
      <c r="M105" s="192"/>
    </row>
    <row r="106" spans="1:13" ht="14.5" x14ac:dyDescent="0.3">
      <c r="A106" s="204" t="s">
        <v>154</v>
      </c>
      <c r="B106" s="491" t="s">
        <v>285</v>
      </c>
      <c r="C106" s="158">
        <v>36</v>
      </c>
      <c r="D106" s="1039">
        <v>6</v>
      </c>
      <c r="E106" s="1040"/>
      <c r="F106" s="179"/>
      <c r="M106" s="192"/>
    </row>
    <row r="107" spans="1:13" ht="14.5" x14ac:dyDescent="0.3">
      <c r="A107" s="134" t="s">
        <v>114</v>
      </c>
      <c r="B107" s="491" t="s">
        <v>285</v>
      </c>
      <c r="C107" s="158">
        <v>48</v>
      </c>
      <c r="D107" s="1039">
        <v>6</v>
      </c>
      <c r="E107" s="1040"/>
      <c r="F107" s="179"/>
      <c r="M107" s="192"/>
    </row>
    <row r="108" spans="1:13" ht="14.5" x14ac:dyDescent="0.3">
      <c r="A108" s="134" t="s">
        <v>16</v>
      </c>
      <c r="B108" s="491" t="s">
        <v>285</v>
      </c>
      <c r="C108" s="130">
        <v>6</v>
      </c>
      <c r="D108" s="120"/>
      <c r="M108" s="192"/>
    </row>
    <row r="109" spans="1:13" ht="14.5" x14ac:dyDescent="0.3">
      <c r="A109" s="204" t="s">
        <v>125</v>
      </c>
      <c r="B109" s="491" t="s">
        <v>285</v>
      </c>
      <c r="C109" s="157">
        <v>300</v>
      </c>
      <c r="D109" s="120"/>
      <c r="M109" s="192"/>
    </row>
    <row r="110" spans="1:13" x14ac:dyDescent="0.3">
      <c r="A110" s="134"/>
      <c r="B110" s="130"/>
      <c r="C110" s="130"/>
      <c r="D110" s="120"/>
      <c r="M110" s="192"/>
    </row>
    <row r="111" spans="1:13" x14ac:dyDescent="0.3">
      <c r="A111" s="191" t="s">
        <v>49</v>
      </c>
      <c r="B111" s="130"/>
      <c r="C111" s="130"/>
      <c r="D111" s="120"/>
      <c r="M111" s="192"/>
    </row>
    <row r="112" spans="1:13" ht="25.5" x14ac:dyDescent="0.3">
      <c r="A112" s="208" t="s">
        <v>50</v>
      </c>
      <c r="B112" s="491" t="s">
        <v>285</v>
      </c>
      <c r="C112" s="157">
        <v>60</v>
      </c>
      <c r="D112" s="120"/>
      <c r="M112" s="192"/>
    </row>
    <row r="113" spans="1:13" ht="25.5" x14ac:dyDescent="0.3">
      <c r="A113" s="208" t="s">
        <v>51</v>
      </c>
      <c r="B113" s="491" t="s">
        <v>285</v>
      </c>
      <c r="C113" s="130">
        <v>36</v>
      </c>
      <c r="D113" s="120"/>
      <c r="M113" s="192"/>
    </row>
    <row r="114" spans="1:13" ht="26" thickBot="1" x14ac:dyDescent="0.35">
      <c r="A114" s="209" t="s">
        <v>52</v>
      </c>
      <c r="B114" s="492" t="s">
        <v>285</v>
      </c>
      <c r="C114" s="172">
        <v>20</v>
      </c>
      <c r="D114" s="210"/>
      <c r="E114" s="47"/>
      <c r="F114" s="47"/>
      <c r="G114" s="211"/>
      <c r="H114" s="212"/>
      <c r="I114" s="211"/>
      <c r="J114" s="212"/>
      <c r="K114" s="211"/>
      <c r="L114" s="212"/>
      <c r="M114" s="110"/>
    </row>
  </sheetData>
  <sheetProtection algorithmName="SHA-512" hashValue="dnnDhY/Pwld82a9+fTackT7wz+z9XePFJ6VGnGUz42jwNNatU9QsgxaO/mYoiJ5h599Kht4+CmLk+4iKffd7TA==" saltValue="wL8JNHwTDjGrRORoucD+2g==" spinCount="100000" sheet="1" selectLockedCells="1" selectUnlockedCells="1"/>
  <mergeCells count="43">
    <mergeCell ref="K1:N5"/>
    <mergeCell ref="G10:H10"/>
    <mergeCell ref="G51:H51"/>
    <mergeCell ref="G53:H53"/>
    <mergeCell ref="G52:H52"/>
    <mergeCell ref="K8:L8"/>
    <mergeCell ref="K9:L9"/>
    <mergeCell ref="B7:N7"/>
    <mergeCell ref="N8:N12"/>
    <mergeCell ref="D8:E8"/>
    <mergeCell ref="B8:B11"/>
    <mergeCell ref="D9:E9"/>
    <mergeCell ref="G8:H8"/>
    <mergeCell ref="G9:H9"/>
    <mergeCell ref="K72:M76"/>
    <mergeCell ref="I10:J10"/>
    <mergeCell ref="K10:L10"/>
    <mergeCell ref="I11:J11"/>
    <mergeCell ref="K11:L11"/>
    <mergeCell ref="M8:M12"/>
    <mergeCell ref="I9:J9"/>
    <mergeCell ref="I8:J8"/>
    <mergeCell ref="A7:A13"/>
    <mergeCell ref="G69:H69"/>
    <mergeCell ref="D50:E50"/>
    <mergeCell ref="D52:E52"/>
    <mergeCell ref="D53:E53"/>
    <mergeCell ref="D54:E54"/>
    <mergeCell ref="D55:E55"/>
    <mergeCell ref="G50:H50"/>
    <mergeCell ref="D51:E51"/>
    <mergeCell ref="G66:H66"/>
    <mergeCell ref="G68:H68"/>
    <mergeCell ref="G67:H67"/>
    <mergeCell ref="G55:H55"/>
    <mergeCell ref="G54:H54"/>
    <mergeCell ref="D88:E88"/>
    <mergeCell ref="E99:F99"/>
    <mergeCell ref="D107:E107"/>
    <mergeCell ref="D103:E103"/>
    <mergeCell ref="D104:E104"/>
    <mergeCell ref="D105:E105"/>
    <mergeCell ref="D106:E106"/>
  </mergeCells>
  <phoneticPr fontId="0" type="noConversion"/>
  <pageMargins left="0.39370078740157483" right="0" top="0.35433070866141736" bottom="0.43307086614173229" header="0.23622047244094491" footer="0.19685039370078741"/>
  <pageSetup paperSize="9" scale="56" fitToHeight="2" orientation="landscape" r:id="rId1"/>
  <headerFooter alignWithMargins="0"/>
  <rowBreaks count="1" manualBreakCount="1">
    <brk id="7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Adresse + Ergebnis </vt:lpstr>
      <vt:lpstr>Rindvieh, Schweine, Geflügel</vt:lpstr>
      <vt:lpstr>Diverse Tiere</vt:lpstr>
      <vt:lpstr>Abwasser, Hofdüngerlager</vt:lpstr>
      <vt:lpstr>Abwasser landwirt. Nebenerwerb</vt:lpstr>
      <vt:lpstr>Grundlagen GRUD</vt:lpstr>
      <vt:lpstr>'Abwasser landwirt. Nebenerwerb'!Druckbereich</vt:lpstr>
      <vt:lpstr>'Abwasser, Hofdüngerlager'!Druckbereich</vt:lpstr>
      <vt:lpstr>'Adresse + Ergebnis '!Druckbereich</vt:lpstr>
      <vt:lpstr>'Diverse Tiere'!Druckbereich</vt:lpstr>
      <vt:lpstr>'Rindvieh, Schweine, Geflügel'!Druckbereich</vt:lpstr>
      <vt:lpstr>'Abwasser, Hofdüngerlager'!Print_Area</vt:lpstr>
      <vt:lpstr>'Adresse + Ergebnis '!Print_Area</vt:lpstr>
      <vt:lpstr>'Diverse Tiere'!Print_Area</vt:lpstr>
      <vt:lpstr>'Grundlagen GRUD'!Print_Area</vt:lpstr>
      <vt:lpstr>'Rindvieh, Schweine, Geflügel'!Print_Area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Tanner LWAG;stefan.gebert@ag.ch</dc:creator>
  <cp:lastModifiedBy>Michael Vogel</cp:lastModifiedBy>
  <cp:lastPrinted>2020-06-08T16:01:06Z</cp:lastPrinted>
  <dcterms:created xsi:type="dcterms:W3CDTF">1999-10-12T13:55:10Z</dcterms:created>
  <dcterms:modified xsi:type="dcterms:W3CDTF">2020-06-08T16:06:13Z</dcterms:modified>
</cp:coreProperties>
</file>